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Work\TMF paper\"/>
    </mc:Choice>
  </mc:AlternateContent>
  <bookViews>
    <workbookView xWindow="0" yWindow="0" windowWidth="24000" windowHeight="9735"/>
  </bookViews>
  <sheets>
    <sheet name="Species list" sheetId="10" r:id="rId1"/>
    <sheet name="Model 1 (Combined)" sheetId="1" r:id="rId2"/>
    <sheet name="Model 2 (Pelagic)" sheetId="8" r:id="rId3"/>
    <sheet name="Model 3 (Demersal)" sheetId="9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0" i="9" l="1"/>
  <c r="B115" i="9"/>
  <c r="F127" i="8"/>
  <c r="B121" i="8"/>
  <c r="C159" i="1"/>
  <c r="D39" i="1" l="1"/>
  <c r="D37" i="1"/>
  <c r="D38" i="1"/>
  <c r="D32" i="9" l="1"/>
  <c r="E32" i="9"/>
  <c r="C32" i="9"/>
  <c r="E32" i="1"/>
  <c r="F32" i="1"/>
  <c r="G32" i="1"/>
  <c r="H32" i="1"/>
  <c r="I32" i="1"/>
  <c r="D32" i="1"/>
  <c r="D24" i="8" l="1"/>
  <c r="E24" i="8"/>
  <c r="F24" i="8"/>
  <c r="C24" i="8"/>
  <c r="D34" i="8" l="1"/>
  <c r="E34" i="8"/>
  <c r="F34" i="8"/>
  <c r="C34" i="8"/>
  <c r="D42" i="9" l="1"/>
  <c r="E42" i="9"/>
  <c r="C42" i="9"/>
  <c r="D34" i="9"/>
  <c r="E34" i="9"/>
  <c r="C34" i="9"/>
  <c r="E42" i="1"/>
  <c r="F42" i="1"/>
  <c r="G42" i="1"/>
  <c r="H42" i="1"/>
  <c r="I42" i="1"/>
  <c r="D42" i="1"/>
  <c r="E34" i="1"/>
  <c r="F34" i="1"/>
  <c r="G34" i="1"/>
  <c r="H34" i="1"/>
  <c r="I34" i="1"/>
  <c r="D34" i="1"/>
  <c r="D26" i="8"/>
  <c r="E26" i="8"/>
  <c r="F26" i="8"/>
  <c r="C26" i="8"/>
  <c r="G13" i="8" l="1"/>
  <c r="D68" i="1" l="1"/>
  <c r="D78" i="1" s="1"/>
  <c r="D41" i="9"/>
  <c r="E41" i="9"/>
  <c r="C41" i="9"/>
  <c r="D88" i="1" l="1"/>
  <c r="D98" i="1" s="1"/>
  <c r="D108" i="1" s="1"/>
  <c r="D33" i="8"/>
  <c r="E33" i="8"/>
  <c r="F33" i="8"/>
  <c r="C33" i="8"/>
  <c r="E41" i="1"/>
  <c r="F41" i="1"/>
  <c r="G41" i="1"/>
  <c r="H41" i="1"/>
  <c r="I41" i="1"/>
  <c r="D41" i="1"/>
  <c r="D82" i="9"/>
  <c r="D72" i="9"/>
  <c r="D117" i="1" l="1"/>
  <c r="C109" i="1"/>
  <c r="C100" i="1"/>
  <c r="C91" i="1"/>
  <c r="C82" i="1"/>
  <c r="C73" i="1"/>
  <c r="C64" i="1"/>
  <c r="C59" i="1"/>
  <c r="C54" i="1"/>
  <c r="A109" i="1"/>
  <c r="A100" i="1"/>
  <c r="A91" i="1"/>
  <c r="A82" i="1"/>
  <c r="A73" i="1"/>
  <c r="A64" i="1"/>
  <c r="A59" i="1"/>
  <c r="A54" i="1"/>
  <c r="C78" i="8"/>
  <c r="C69" i="8"/>
  <c r="C60" i="8"/>
  <c r="C51" i="8"/>
  <c r="C46" i="8"/>
  <c r="A78" i="8"/>
  <c r="A69" i="8"/>
  <c r="A60" i="8"/>
  <c r="A51" i="8"/>
  <c r="A46" i="8"/>
  <c r="C77" i="9"/>
  <c r="C68" i="9"/>
  <c r="C59" i="9"/>
  <c r="C54" i="9"/>
  <c r="A77" i="9"/>
  <c r="A68" i="9"/>
  <c r="A59" i="9"/>
  <c r="A54" i="9"/>
  <c r="D56" i="9" l="1"/>
  <c r="D56" i="1"/>
  <c r="D62" i="9" l="1"/>
  <c r="C33" i="9" l="1"/>
  <c r="C29" i="9"/>
  <c r="D33" i="1" l="1"/>
  <c r="G29" i="1"/>
  <c r="F29" i="1"/>
  <c r="E29" i="1"/>
  <c r="D29" i="1"/>
  <c r="I157" i="1" l="1"/>
  <c r="B157" i="1"/>
  <c r="H143" i="1"/>
  <c r="G143" i="1"/>
  <c r="F143" i="1"/>
  <c r="E143" i="1"/>
  <c r="D143" i="1"/>
  <c r="C144" i="1"/>
  <c r="C143" i="1"/>
  <c r="B140" i="1"/>
  <c r="B133" i="1"/>
  <c r="G121" i="1"/>
  <c r="B158" i="1" s="1"/>
  <c r="D107" i="8"/>
  <c r="E107" i="8"/>
  <c r="F107" i="8"/>
  <c r="C106" i="9"/>
  <c r="E103" i="9"/>
  <c r="D103" i="9"/>
  <c r="C103" i="9"/>
  <c r="G89" i="9"/>
  <c r="B112" i="9" s="1"/>
  <c r="G90" i="9"/>
  <c r="C150" i="1" l="1"/>
  <c r="C109" i="9" l="1"/>
  <c r="C108" i="9"/>
  <c r="B90" i="9"/>
  <c r="C111" i="9" s="1"/>
  <c r="B108" i="9"/>
  <c r="E105" i="9"/>
  <c r="E104" i="9"/>
  <c r="D104" i="9"/>
  <c r="D106" i="9" s="1"/>
  <c r="C93" i="9"/>
  <c r="B92" i="9"/>
  <c r="E111" i="9" s="1"/>
  <c r="B91" i="9"/>
  <c r="D111" i="9" s="1"/>
  <c r="D61" i="9"/>
  <c r="F109" i="9"/>
  <c r="G109" i="9" s="1"/>
  <c r="D109" i="9"/>
  <c r="E109" i="9" s="1"/>
  <c r="E33" i="9"/>
  <c r="B18" i="9"/>
  <c r="G17" i="9"/>
  <c r="G15" i="9"/>
  <c r="B7" i="9"/>
  <c r="B5" i="9"/>
  <c r="B4" i="9"/>
  <c r="B12" i="9" s="1"/>
  <c r="E93" i="9" s="1"/>
  <c r="F21" i="8"/>
  <c r="E21" i="8"/>
  <c r="D21" i="8"/>
  <c r="C21" i="8"/>
  <c r="D37" i="9" l="1"/>
  <c r="B28" i="9"/>
  <c r="C31" i="9"/>
  <c r="C36" i="9" s="1"/>
  <c r="C37" i="9"/>
  <c r="B52" i="9"/>
  <c r="B55" i="9"/>
  <c r="B57" i="9" s="1"/>
  <c r="B58" i="9" s="1"/>
  <c r="E106" i="9"/>
  <c r="D33" i="9"/>
  <c r="G91" i="9"/>
  <c r="D112" i="9" s="1"/>
  <c r="B21" i="9"/>
  <c r="F94" i="9" s="1"/>
  <c r="B20" i="9"/>
  <c r="F93" i="9" s="1"/>
  <c r="C52" i="9"/>
  <c r="D52" i="9"/>
  <c r="E31" i="9"/>
  <c r="E36" i="9" s="1"/>
  <c r="E52" i="9"/>
  <c r="E28" i="9"/>
  <c r="B14" i="9"/>
  <c r="B16" i="9" s="1"/>
  <c r="E37" i="9"/>
  <c r="D31" i="9"/>
  <c r="D36" i="9" s="1"/>
  <c r="D38" i="9" s="1"/>
  <c r="B19" i="9"/>
  <c r="D28" i="9"/>
  <c r="C28" i="9"/>
  <c r="F108" i="9"/>
  <c r="G108" i="9" s="1"/>
  <c r="C89" i="9" l="1"/>
  <c r="C97" i="9" s="1"/>
  <c r="B60" i="9"/>
  <c r="B61" i="9" s="1"/>
  <c r="C90" i="9" s="1"/>
  <c r="C98" i="9" s="1"/>
  <c r="C38" i="9"/>
  <c r="C43" i="9"/>
  <c r="C47" i="9"/>
  <c r="C48" i="9"/>
  <c r="C49" i="9"/>
  <c r="B56" i="9"/>
  <c r="D89" i="9" s="1"/>
  <c r="D97" i="9" s="1"/>
  <c r="C44" i="9"/>
  <c r="C50" i="9" s="1"/>
  <c r="C39" i="9"/>
  <c r="E89" i="9"/>
  <c r="E97" i="9" s="1"/>
  <c r="C112" i="9"/>
  <c r="D48" i="9"/>
  <c r="G92" i="9"/>
  <c r="E112" i="9" s="1"/>
  <c r="D47" i="9"/>
  <c r="D43" i="9"/>
  <c r="D49" i="9" s="1"/>
  <c r="D108" i="9"/>
  <c r="E108" i="9" s="1"/>
  <c r="C94" i="9"/>
  <c r="B17" i="9"/>
  <c r="E94" i="9" s="1"/>
  <c r="E39" i="9"/>
  <c r="E44" i="9"/>
  <c r="E50" i="9" s="1"/>
  <c r="E43" i="9"/>
  <c r="E49" i="9" s="1"/>
  <c r="E38" i="9"/>
  <c r="E48" i="9"/>
  <c r="E47" i="9"/>
  <c r="D44" i="9"/>
  <c r="D50" i="9" s="1"/>
  <c r="D39" i="9"/>
  <c r="B62" i="9" l="1"/>
  <c r="D90" i="9" s="1"/>
  <c r="D98" i="9" s="1"/>
  <c r="C45" i="9"/>
  <c r="C46" i="9" s="1"/>
  <c r="B63" i="9"/>
  <c r="E90" i="9" s="1"/>
  <c r="E98" i="9" s="1"/>
  <c r="B66" i="9"/>
  <c r="B69" i="9"/>
  <c r="B65" i="9"/>
  <c r="B67" i="9"/>
  <c r="F89" i="9"/>
  <c r="F97" i="9" s="1"/>
  <c r="E45" i="9"/>
  <c r="D45" i="9"/>
  <c r="C51" i="9" l="1"/>
  <c r="B70" i="9"/>
  <c r="B71" i="9" s="1"/>
  <c r="B64" i="9"/>
  <c r="F90" i="9" s="1"/>
  <c r="B113" i="9"/>
  <c r="G97" i="9"/>
  <c r="E46" i="9"/>
  <c r="E51" i="9"/>
  <c r="D46" i="9"/>
  <c r="D51" i="9"/>
  <c r="B72" i="9" l="1"/>
  <c r="B73" i="9" s="1"/>
  <c r="B78" i="9"/>
  <c r="B79" i="9" s="1"/>
  <c r="B75" i="9"/>
  <c r="C114" i="9"/>
  <c r="F98" i="9"/>
  <c r="C91" i="9"/>
  <c r="C99" i="9" s="1"/>
  <c r="B76" i="9"/>
  <c r="B74" i="9"/>
  <c r="B84" i="9" l="1"/>
  <c r="C92" i="9"/>
  <c r="C100" i="9" s="1"/>
  <c r="B80" i="9"/>
  <c r="D92" i="9" s="1"/>
  <c r="B83" i="9"/>
  <c r="B81" i="9"/>
  <c r="E92" i="9" s="1"/>
  <c r="E91" i="9"/>
  <c r="E99" i="9" s="1"/>
  <c r="C113" i="9"/>
  <c r="G98" i="9"/>
  <c r="D91" i="9"/>
  <c r="D99" i="9" s="1"/>
  <c r="E100" i="9" l="1"/>
  <c r="B82" i="9"/>
  <c r="F91" i="9"/>
  <c r="D100" i="9"/>
  <c r="B85" i="9"/>
  <c r="B116" i="9" s="1"/>
  <c r="F99" i="9" l="1"/>
  <c r="G99" i="9" s="1"/>
  <c r="D114" i="9"/>
  <c r="F92" i="9"/>
  <c r="D113" i="9" l="1"/>
  <c r="F100" i="9"/>
  <c r="G100" i="9" s="1"/>
  <c r="E114" i="9"/>
  <c r="E113" i="9" l="1"/>
  <c r="D115" i="9" l="1"/>
  <c r="H149" i="1" l="1"/>
  <c r="H148" i="1"/>
  <c r="H147" i="1"/>
  <c r="H146" i="1"/>
  <c r="H145" i="1"/>
  <c r="H144" i="1"/>
  <c r="I29" i="1"/>
  <c r="I33" i="1" s="1"/>
  <c r="H29" i="1"/>
  <c r="B113" i="8"/>
  <c r="F109" i="8"/>
  <c r="F108" i="8"/>
  <c r="E108" i="8"/>
  <c r="F106" i="8"/>
  <c r="E106" i="8"/>
  <c r="D106" i="8"/>
  <c r="C106" i="8"/>
  <c r="C96" i="8"/>
  <c r="B94" i="8"/>
  <c r="B93" i="8"/>
  <c r="B92" i="8"/>
  <c r="B91" i="8"/>
  <c r="B90" i="8"/>
  <c r="D48" i="8"/>
  <c r="F115" i="8"/>
  <c r="G115" i="8" s="1"/>
  <c r="D115" i="8"/>
  <c r="E115" i="8" s="1"/>
  <c r="B31" i="8"/>
  <c r="E25" i="8"/>
  <c r="G11" i="8"/>
  <c r="B7" i="8"/>
  <c r="B5" i="8"/>
  <c r="B4" i="8"/>
  <c r="E29" i="8" l="1"/>
  <c r="E36" i="8" s="1"/>
  <c r="F29" i="8"/>
  <c r="B44" i="8"/>
  <c r="B47" i="8" s="1"/>
  <c r="B52" i="8" s="1"/>
  <c r="D54" i="8"/>
  <c r="D64" i="8" s="1"/>
  <c r="B101" i="8"/>
  <c r="D117" i="8"/>
  <c r="B117" i="8"/>
  <c r="B99" i="8"/>
  <c r="B102" i="8"/>
  <c r="E117" i="8"/>
  <c r="C117" i="8"/>
  <c r="B100" i="8"/>
  <c r="F117" i="8"/>
  <c r="B103" i="8"/>
  <c r="H150" i="1"/>
  <c r="B30" i="8"/>
  <c r="E111" i="8"/>
  <c r="D111" i="8"/>
  <c r="C111" i="8"/>
  <c r="F111" i="8"/>
  <c r="D20" i="8"/>
  <c r="D39" i="8" s="1"/>
  <c r="B20" i="8"/>
  <c r="B40" i="8" s="1"/>
  <c r="F23" i="8"/>
  <c r="E44" i="8"/>
  <c r="B12" i="8"/>
  <c r="C23" i="8"/>
  <c r="D25" i="8"/>
  <c r="F156" i="1"/>
  <c r="G156" i="1" s="1"/>
  <c r="D156" i="1"/>
  <c r="E156" i="1" s="1"/>
  <c r="F113" i="8"/>
  <c r="G113" i="8" s="1"/>
  <c r="F44" i="8"/>
  <c r="C44" i="8"/>
  <c r="B11" i="8"/>
  <c r="E96" i="8" s="1"/>
  <c r="C20" i="8"/>
  <c r="F20" i="8"/>
  <c r="F116" i="8"/>
  <c r="G116" i="8" s="1"/>
  <c r="E23" i="8"/>
  <c r="E28" i="8" s="1"/>
  <c r="C25" i="8"/>
  <c r="F25" i="8"/>
  <c r="F114" i="8"/>
  <c r="G114" i="8" s="1"/>
  <c r="D44" i="8"/>
  <c r="G90" i="8"/>
  <c r="B118" i="8" s="1"/>
  <c r="E20" i="8"/>
  <c r="D114" i="8"/>
  <c r="E114" i="8" s="1"/>
  <c r="D23" i="8"/>
  <c r="B35" i="8"/>
  <c r="B42" i="8" l="1"/>
  <c r="D74" i="8"/>
  <c r="D84" i="8" s="1"/>
  <c r="F28" i="8"/>
  <c r="F30" i="8" s="1"/>
  <c r="F96" i="8"/>
  <c r="C90" i="8"/>
  <c r="C99" i="8" s="1"/>
  <c r="C29" i="8"/>
  <c r="C36" i="8" s="1"/>
  <c r="C42" i="8" s="1"/>
  <c r="B48" i="8"/>
  <c r="D90" i="8" s="1"/>
  <c r="D99" i="8" s="1"/>
  <c r="B49" i="8"/>
  <c r="B50" i="8" s="1"/>
  <c r="D28" i="8"/>
  <c r="D35" i="8" s="1"/>
  <c r="B41" i="8"/>
  <c r="D40" i="8"/>
  <c r="B39" i="8"/>
  <c r="B43" i="8"/>
  <c r="C28" i="8"/>
  <c r="D29" i="8"/>
  <c r="D36" i="8" s="1"/>
  <c r="D42" i="8" s="1"/>
  <c r="D116" i="8"/>
  <c r="E116" i="8" s="1"/>
  <c r="F36" i="8"/>
  <c r="F42" i="8" s="1"/>
  <c r="F31" i="8"/>
  <c r="F39" i="8"/>
  <c r="C39" i="8"/>
  <c r="E42" i="8"/>
  <c r="E39" i="8"/>
  <c r="E40" i="8"/>
  <c r="G91" i="8"/>
  <c r="C118" i="8" s="1"/>
  <c r="D113" i="8"/>
  <c r="E113" i="8" s="1"/>
  <c r="E35" i="8"/>
  <c r="E37" i="8" s="1"/>
  <c r="E38" i="8" s="1"/>
  <c r="F40" i="8"/>
  <c r="C40" i="8"/>
  <c r="E30" i="8"/>
  <c r="E31" i="8"/>
  <c r="C31" i="8" l="1"/>
  <c r="E90" i="8"/>
  <c r="E99" i="8" s="1"/>
  <c r="C35" i="8"/>
  <c r="C41" i="8" s="1"/>
  <c r="F35" i="8"/>
  <c r="F41" i="8" s="1"/>
  <c r="D30" i="8"/>
  <c r="C30" i="8"/>
  <c r="D31" i="8"/>
  <c r="G92" i="8"/>
  <c r="D118" i="8" s="1"/>
  <c r="D41" i="8"/>
  <c r="D37" i="8"/>
  <c r="E41" i="8"/>
  <c r="F90" i="8"/>
  <c r="E43" i="8"/>
  <c r="G145" i="1"/>
  <c r="G146" i="1"/>
  <c r="G147" i="1"/>
  <c r="G148" i="1"/>
  <c r="F146" i="1"/>
  <c r="F147" i="1"/>
  <c r="E145" i="1"/>
  <c r="E146" i="1"/>
  <c r="C37" i="8" l="1"/>
  <c r="C38" i="8" s="1"/>
  <c r="F37" i="8"/>
  <c r="F38" i="8" s="1"/>
  <c r="G93" i="8"/>
  <c r="E118" i="8" s="1"/>
  <c r="G94" i="8"/>
  <c r="F118" i="8" s="1"/>
  <c r="F99" i="8"/>
  <c r="G99" i="8" s="1"/>
  <c r="B120" i="8"/>
  <c r="D38" i="8"/>
  <c r="D43" i="8"/>
  <c r="G15" i="1"/>
  <c r="F43" i="8" l="1"/>
  <c r="B53" i="8"/>
  <c r="B55" i="8" s="1"/>
  <c r="C43" i="8"/>
  <c r="B119" i="8"/>
  <c r="F154" i="1"/>
  <c r="G154" i="1" s="1"/>
  <c r="G17" i="1"/>
  <c r="D154" i="1"/>
  <c r="E154" i="1" s="1"/>
  <c r="B54" i="8" l="1"/>
  <c r="B58" i="8"/>
  <c r="B61" i="8"/>
  <c r="B62" i="8" s="1"/>
  <c r="B57" i="8"/>
  <c r="C91" i="8"/>
  <c r="C100" i="8" s="1"/>
  <c r="E91" i="8"/>
  <c r="G33" i="1"/>
  <c r="D91" i="8" l="1"/>
  <c r="D100" i="8" s="1"/>
  <c r="B70" i="8"/>
  <c r="B71" i="8" s="1"/>
  <c r="C92" i="8"/>
  <c r="C101" i="8" s="1"/>
  <c r="B67" i="8"/>
  <c r="B66" i="8"/>
  <c r="B64" i="8"/>
  <c r="B65" i="8" s="1"/>
  <c r="B63" i="8"/>
  <c r="D92" i="8" s="1"/>
  <c r="D101" i="8" s="1"/>
  <c r="B56" i="8"/>
  <c r="B59" i="8"/>
  <c r="E100" i="8"/>
  <c r="B18" i="1"/>
  <c r="F91" i="8" l="1"/>
  <c r="B72" i="8"/>
  <c r="D93" i="8" s="1"/>
  <c r="D102" i="8" s="1"/>
  <c r="B76" i="8"/>
  <c r="B79" i="8"/>
  <c r="B80" i="8" s="1"/>
  <c r="C93" i="8"/>
  <c r="C102" i="8" s="1"/>
  <c r="B75" i="8"/>
  <c r="B68" i="8"/>
  <c r="E92" i="8"/>
  <c r="E101" i="8" s="1"/>
  <c r="B73" i="8"/>
  <c r="B74" i="8" s="1"/>
  <c r="F92" i="8"/>
  <c r="B77" i="8" l="1"/>
  <c r="C94" i="8"/>
  <c r="C103" i="8" s="1"/>
  <c r="E93" i="8"/>
  <c r="E102" i="8" s="1"/>
  <c r="C120" i="8"/>
  <c r="F100" i="8"/>
  <c r="G100" i="8" s="1"/>
  <c r="F93" i="8"/>
  <c r="D120" i="8"/>
  <c r="F101" i="8"/>
  <c r="G101" i="8" s="1"/>
  <c r="F145" i="1"/>
  <c r="D145" i="1"/>
  <c r="G144" i="1"/>
  <c r="G150" i="1" s="1"/>
  <c r="F144" i="1"/>
  <c r="F150" i="1" s="1"/>
  <c r="E144" i="1"/>
  <c r="E150" i="1" s="1"/>
  <c r="D144" i="1"/>
  <c r="B84" i="8" l="1"/>
  <c r="B85" i="8"/>
  <c r="B82" i="8"/>
  <c r="E94" i="8" s="1"/>
  <c r="E103" i="8" s="1"/>
  <c r="B81" i="8"/>
  <c r="D94" i="8" s="1"/>
  <c r="D103" i="8" s="1"/>
  <c r="D150" i="1"/>
  <c r="C119" i="8"/>
  <c r="F102" i="8"/>
  <c r="G102" i="8" s="1"/>
  <c r="E120" i="8"/>
  <c r="D119" i="8"/>
  <c r="B83" i="8" l="1"/>
  <c r="F94" i="8" s="1"/>
  <c r="F120" i="8" s="1"/>
  <c r="B86" i="8"/>
  <c r="B122" i="8" s="1"/>
  <c r="E119" i="8"/>
  <c r="B152" i="1"/>
  <c r="D61" i="1"/>
  <c r="G123" i="1" s="1"/>
  <c r="F103" i="8" l="1"/>
  <c r="G103" i="8" s="1"/>
  <c r="D158" i="1"/>
  <c r="G122" i="1"/>
  <c r="G124" i="1"/>
  <c r="C129" i="1"/>
  <c r="B127" i="1"/>
  <c r="B126" i="1"/>
  <c r="B125" i="1"/>
  <c r="B124" i="1"/>
  <c r="B123" i="1"/>
  <c r="B122" i="1"/>
  <c r="F119" i="8" l="1"/>
  <c r="B134" i="1"/>
  <c r="C157" i="1"/>
  <c r="F157" i="1"/>
  <c r="B137" i="1"/>
  <c r="B135" i="1"/>
  <c r="D157" i="1"/>
  <c r="G157" i="1"/>
  <c r="B138" i="1"/>
  <c r="E157" i="1"/>
  <c r="B136" i="1"/>
  <c r="H157" i="1"/>
  <c r="B139" i="1"/>
  <c r="C158" i="1"/>
  <c r="E158" i="1"/>
  <c r="G125" i="1"/>
  <c r="D121" i="8" l="1"/>
  <c r="F158" i="1"/>
  <c r="G126" i="1" l="1"/>
  <c r="D153" i="1"/>
  <c r="E153" i="1" s="1"/>
  <c r="F153" i="1"/>
  <c r="G153" i="1" s="1"/>
  <c r="D155" i="1"/>
  <c r="E155" i="1" s="1"/>
  <c r="F155" i="1"/>
  <c r="G155" i="1" s="1"/>
  <c r="D152" i="1"/>
  <c r="E152" i="1" s="1"/>
  <c r="F152" i="1"/>
  <c r="G152" i="1" s="1"/>
  <c r="H33" i="1"/>
  <c r="E33" i="1"/>
  <c r="F33" i="1"/>
  <c r="G127" i="1"/>
  <c r="B5" i="1"/>
  <c r="B4" i="1"/>
  <c r="C39" i="1"/>
  <c r="G158" i="1" l="1"/>
  <c r="H158" i="1"/>
  <c r="G128" i="1"/>
  <c r="B20" i="1"/>
  <c r="B12" i="1"/>
  <c r="E129" i="1" s="1"/>
  <c r="C38" i="1"/>
  <c r="B7" i="1"/>
  <c r="B52" i="1" l="1"/>
  <c r="B55" i="1" s="1"/>
  <c r="B56" i="1" s="1"/>
  <c r="D121" i="1" s="1"/>
  <c r="D133" i="1" s="1"/>
  <c r="I37" i="1"/>
  <c r="B28" i="1"/>
  <c r="D31" i="1"/>
  <c r="D36" i="1" s="1"/>
  <c r="C121" i="1"/>
  <c r="C133" i="1" s="1"/>
  <c r="B57" i="1"/>
  <c r="I158" i="1"/>
  <c r="I31" i="1"/>
  <c r="I36" i="1" s="1"/>
  <c r="I52" i="1"/>
  <c r="I28" i="1"/>
  <c r="H37" i="1"/>
  <c r="H44" i="1" s="1"/>
  <c r="E37" i="1"/>
  <c r="E44" i="1" s="1"/>
  <c r="F37" i="1"/>
  <c r="F44" i="1" s="1"/>
  <c r="G37" i="1"/>
  <c r="G44" i="1" s="1"/>
  <c r="G28" i="1"/>
  <c r="F31" i="1"/>
  <c r="G31" i="1"/>
  <c r="H31" i="1"/>
  <c r="E31" i="1"/>
  <c r="F129" i="1"/>
  <c r="C43" i="1"/>
  <c r="H52" i="1"/>
  <c r="G52" i="1"/>
  <c r="D52" i="1"/>
  <c r="F52" i="1"/>
  <c r="C52" i="1"/>
  <c r="B60" i="1" s="1"/>
  <c r="B65" i="1" s="1"/>
  <c r="E52" i="1"/>
  <c r="H28" i="1"/>
  <c r="F28" i="1"/>
  <c r="D43" i="1"/>
  <c r="B14" i="1"/>
  <c r="E28" i="1"/>
  <c r="C28" i="1"/>
  <c r="D28" i="1"/>
  <c r="D49" i="1" l="1"/>
  <c r="D48" i="1"/>
  <c r="D47" i="1"/>
  <c r="D44" i="1"/>
  <c r="D50" i="1" s="1"/>
  <c r="B58" i="1"/>
  <c r="E121" i="1"/>
  <c r="E133" i="1" s="1"/>
  <c r="I48" i="1"/>
  <c r="I47" i="1"/>
  <c r="I43" i="1"/>
  <c r="I38" i="1"/>
  <c r="I44" i="1"/>
  <c r="I50" i="1" s="1"/>
  <c r="I39" i="1"/>
  <c r="G39" i="1"/>
  <c r="F36" i="1"/>
  <c r="F43" i="1" s="1"/>
  <c r="F49" i="1" s="1"/>
  <c r="E36" i="1"/>
  <c r="E43" i="1" s="1"/>
  <c r="E45" i="1" s="1"/>
  <c r="H36" i="1"/>
  <c r="H38" i="1" s="1"/>
  <c r="G36" i="1"/>
  <c r="G43" i="1" s="1"/>
  <c r="G45" i="1" s="1"/>
  <c r="G50" i="1"/>
  <c r="G48" i="1"/>
  <c r="G47" i="1"/>
  <c r="C122" i="1"/>
  <c r="C134" i="1" s="1"/>
  <c r="F50" i="1"/>
  <c r="F39" i="1"/>
  <c r="F47" i="1"/>
  <c r="F48" i="1"/>
  <c r="E39" i="1"/>
  <c r="E47" i="1"/>
  <c r="E50" i="1"/>
  <c r="E48" i="1"/>
  <c r="H48" i="1"/>
  <c r="H50" i="1"/>
  <c r="H39" i="1"/>
  <c r="H47" i="1"/>
  <c r="B61" i="1"/>
  <c r="D122" i="1" s="1"/>
  <c r="D134" i="1" s="1"/>
  <c r="B62" i="1"/>
  <c r="C48" i="1"/>
  <c r="C50" i="1"/>
  <c r="C47" i="1"/>
  <c r="C49" i="1"/>
  <c r="C51" i="1"/>
  <c r="D45" i="1" l="1"/>
  <c r="B66" i="1" s="1"/>
  <c r="D51" i="1"/>
  <c r="F121" i="1"/>
  <c r="F133" i="1" s="1"/>
  <c r="B159" i="1" s="1"/>
  <c r="I45" i="1"/>
  <c r="I46" i="1" s="1"/>
  <c r="I49" i="1"/>
  <c r="G49" i="1"/>
  <c r="E51" i="1"/>
  <c r="E46" i="1"/>
  <c r="G51" i="1"/>
  <c r="G46" i="1"/>
  <c r="E49" i="1"/>
  <c r="F45" i="1"/>
  <c r="H43" i="1"/>
  <c r="H49" i="1" s="1"/>
  <c r="F38" i="1"/>
  <c r="G38" i="1"/>
  <c r="E38" i="1"/>
  <c r="B63" i="1"/>
  <c r="E122" i="1"/>
  <c r="E134" i="1" s="1"/>
  <c r="F122" i="1" l="1"/>
  <c r="F134" i="1" s="1"/>
  <c r="G134" i="1" s="1"/>
  <c r="D46" i="1"/>
  <c r="B74" i="1"/>
  <c r="B71" i="1"/>
  <c r="B70" i="1"/>
  <c r="B67" i="1"/>
  <c r="B72" i="1" s="1"/>
  <c r="B68" i="1"/>
  <c r="G133" i="1"/>
  <c r="I51" i="1"/>
  <c r="F51" i="1"/>
  <c r="F46" i="1"/>
  <c r="H45" i="1"/>
  <c r="C160" i="1" l="1"/>
  <c r="H51" i="1"/>
  <c r="H46" i="1"/>
  <c r="D123" i="1" l="1"/>
  <c r="D135" i="1" s="1"/>
  <c r="C123" i="1"/>
  <c r="C135" i="1" s="1"/>
  <c r="B75" i="1"/>
  <c r="B16" i="1"/>
  <c r="B21" i="1"/>
  <c r="F130" i="1" s="1"/>
  <c r="B19" i="1"/>
  <c r="B83" i="1" l="1"/>
  <c r="B84" i="1" s="1"/>
  <c r="B80" i="1"/>
  <c r="B79" i="1"/>
  <c r="C124" i="1"/>
  <c r="C136" i="1" s="1"/>
  <c r="B77" i="1"/>
  <c r="B76" i="1"/>
  <c r="C130" i="1"/>
  <c r="B17" i="1"/>
  <c r="E130" i="1" s="1"/>
  <c r="B69" i="1"/>
  <c r="E123" i="1"/>
  <c r="E135" i="1" s="1"/>
  <c r="B89" i="1" l="1"/>
  <c r="B92" i="1"/>
  <c r="B93" i="1" s="1"/>
  <c r="B101" i="1" s="1"/>
  <c r="F123" i="1"/>
  <c r="D160" i="1" s="1"/>
  <c r="D124" i="1"/>
  <c r="D136" i="1" s="1"/>
  <c r="B81" i="1"/>
  <c r="B78" i="1"/>
  <c r="E124" i="1"/>
  <c r="E136" i="1" s="1"/>
  <c r="B85" i="1"/>
  <c r="B88" i="1"/>
  <c r="B86" i="1"/>
  <c r="C125" i="1"/>
  <c r="C137" i="1" s="1"/>
  <c r="F135" i="1" l="1"/>
  <c r="D159" i="1" s="1"/>
  <c r="B102" i="1"/>
  <c r="B98" i="1"/>
  <c r="B94" i="1"/>
  <c r="B99" i="1" s="1"/>
  <c r="D125" i="1"/>
  <c r="D137" i="1" s="1"/>
  <c r="B90" i="1"/>
  <c r="E125" i="1"/>
  <c r="E137" i="1" s="1"/>
  <c r="B87" i="1"/>
  <c r="F124" i="1"/>
  <c r="B97" i="1"/>
  <c r="B95" i="1"/>
  <c r="C126" i="1"/>
  <c r="C138" i="1" s="1"/>
  <c r="G135" i="1" l="1"/>
  <c r="B107" i="1"/>
  <c r="B110" i="1"/>
  <c r="B111" i="1" s="1"/>
  <c r="B104" i="1"/>
  <c r="B105" i="1" s="1"/>
  <c r="B103" i="1"/>
  <c r="B108" i="1" s="1"/>
  <c r="D126" i="1"/>
  <c r="D138" i="1" s="1"/>
  <c r="B96" i="1"/>
  <c r="E126" i="1"/>
  <c r="E138" i="1" s="1"/>
  <c r="E160" i="1"/>
  <c r="F136" i="1"/>
  <c r="B106" i="1"/>
  <c r="C127" i="1"/>
  <c r="C139" i="1" s="1"/>
  <c r="F125" i="1"/>
  <c r="B116" i="1" l="1"/>
  <c r="C128" i="1"/>
  <c r="C140" i="1" s="1"/>
  <c r="B112" i="1"/>
  <c r="B117" i="1" s="1"/>
  <c r="B162" i="1" s="1"/>
  <c r="B115" i="1"/>
  <c r="B113" i="1"/>
  <c r="D127" i="1"/>
  <c r="D139" i="1" s="1"/>
  <c r="F160" i="1"/>
  <c r="F137" i="1"/>
  <c r="F126" i="1"/>
  <c r="E127" i="1"/>
  <c r="E139" i="1" s="1"/>
  <c r="G136" i="1"/>
  <c r="E159" i="1"/>
  <c r="D128" i="1" l="1"/>
  <c r="D140" i="1" s="1"/>
  <c r="B114" i="1"/>
  <c r="F128" i="1" s="1"/>
  <c r="E128" i="1"/>
  <c r="E140" i="1" s="1"/>
  <c r="F127" i="1"/>
  <c r="F138" i="1"/>
  <c r="G160" i="1"/>
  <c r="F159" i="1"/>
  <c r="G137" i="1"/>
  <c r="F140" i="1" l="1"/>
  <c r="I160" i="1"/>
  <c r="H160" i="1"/>
  <c r="F139" i="1"/>
  <c r="G159" i="1"/>
  <c r="G138" i="1"/>
  <c r="G139" i="1" l="1"/>
  <c r="H159" i="1"/>
  <c r="G140" i="1"/>
  <c r="I159" i="1"/>
  <c r="B161" i="1" l="1"/>
  <c r="E161" i="1" s="1"/>
  <c r="G166" i="1" s="1"/>
</calcChain>
</file>

<file path=xl/sharedStrings.xml><?xml version="1.0" encoding="utf-8"?>
<sst xmlns="http://schemas.openxmlformats.org/spreadsheetml/2006/main" count="510" uniqueCount="216">
  <si>
    <t>Chemical name</t>
  </si>
  <si>
    <t>test</t>
  </si>
  <si>
    <t>logKow</t>
  </si>
  <si>
    <t>Kow</t>
  </si>
  <si>
    <t>Zb ie Zw*L*Kow</t>
  </si>
  <si>
    <t>BCF ie L*Kow</t>
  </si>
  <si>
    <t>BAF3</t>
  </si>
  <si>
    <t>BAF4</t>
  </si>
  <si>
    <t>BAF5</t>
  </si>
  <si>
    <t>BAF6</t>
  </si>
  <si>
    <t>Species No</t>
  </si>
  <si>
    <t>Name</t>
  </si>
  <si>
    <t>Species properties</t>
  </si>
  <si>
    <t>Dm metabolism</t>
  </si>
  <si>
    <t>C3 mg/kg lipid</t>
  </si>
  <si>
    <t>C4 mg/kg lipid</t>
  </si>
  <si>
    <t>C5 mg/kg lipid</t>
  </si>
  <si>
    <t xml:space="preserve">C6 mg/kg lipid </t>
  </si>
  <si>
    <t>C1  mg/kg lipid</t>
  </si>
  <si>
    <t xml:space="preserve">Fugacity Pa </t>
  </si>
  <si>
    <t>C1 mol/m3</t>
  </si>
  <si>
    <t>C2 mg/kg lipid</t>
  </si>
  <si>
    <t>C2 mol/m3</t>
  </si>
  <si>
    <t>BMF43 (whole)</t>
  </si>
  <si>
    <t>BMF 43 (lipid norm)</t>
  </si>
  <si>
    <t>BMF54 (whole)</t>
  </si>
  <si>
    <t>BMF65 (whole)</t>
  </si>
  <si>
    <t>BMF 54 (lipid norm)</t>
  </si>
  <si>
    <t>BMF65 (lipid norm)</t>
  </si>
  <si>
    <t xml:space="preserve">Qk ie kd/ke </t>
  </si>
  <si>
    <t>Data for tables and figures</t>
  </si>
  <si>
    <t>Species</t>
  </si>
  <si>
    <t>Water</t>
  </si>
  <si>
    <t>Sedimt</t>
  </si>
  <si>
    <t>C mg/kg</t>
  </si>
  <si>
    <t>Cmg/kgLp</t>
  </si>
  <si>
    <t>Cmol/m3</t>
  </si>
  <si>
    <t>Fugacity</t>
  </si>
  <si>
    <t>TL</t>
  </si>
  <si>
    <t>Log 10 Quantities</t>
  </si>
  <si>
    <t xml:space="preserve">Species </t>
  </si>
  <si>
    <t>sum</t>
  </si>
  <si>
    <t>Species 1 in equ with water</t>
  </si>
  <si>
    <t>Species 2 in equ with sedimt</t>
  </si>
  <si>
    <t>Log f/TL</t>
  </si>
  <si>
    <t>Chemical input properties</t>
  </si>
  <si>
    <t>Log Kow</t>
  </si>
  <si>
    <t>Log10 fugacities</t>
  </si>
  <si>
    <t>Trophic level TL</t>
  </si>
  <si>
    <t>TMF</t>
  </si>
  <si>
    <t>Sed/water fugy ratio</t>
  </si>
  <si>
    <t>Cmg/kgLip</t>
  </si>
  <si>
    <t>kmet</t>
  </si>
  <si>
    <t>kgrowth</t>
  </si>
  <si>
    <t xml:space="preserve">half life </t>
  </si>
  <si>
    <t>half life</t>
  </si>
  <si>
    <t>Trophic level TL and TMF</t>
  </si>
  <si>
    <t xml:space="preserve"> fugacities </t>
  </si>
  <si>
    <t>Cd3: Uptake</t>
  </si>
  <si>
    <t>Cd5 Uptake:</t>
  </si>
  <si>
    <t>Cd6  uptake mg/kg</t>
  </si>
  <si>
    <t xml:space="preserve"> Cd4 Uptake:</t>
  </si>
  <si>
    <t>Cw (mol/m3)</t>
  </si>
  <si>
    <t>Cw (mg/L or g/m3)</t>
  </si>
  <si>
    <t>Cs (mol/m3)</t>
  </si>
  <si>
    <t>Half-life parameters</t>
  </si>
  <si>
    <t>Half life (days)</t>
  </si>
  <si>
    <t>kg (for 10g fish at 15 deg C )</t>
  </si>
  <si>
    <t>half life (days)</t>
  </si>
  <si>
    <t>Molar mass, MW (g/mol)</t>
  </si>
  <si>
    <r>
      <t>ZW (mol/m3</t>
    </r>
    <r>
      <rPr>
        <sz val="11"/>
        <color theme="1"/>
        <rFont val="Calibri"/>
        <family val="2"/>
      </rPr>
      <t>·</t>
    </r>
    <r>
      <rPr>
        <sz val="11"/>
        <color theme="1"/>
        <rFont val="Calibri"/>
        <family val="2"/>
        <scheme val="minor"/>
      </rPr>
      <t>Pa), (</t>
    </r>
    <r>
      <rPr>
        <i/>
        <sz val="11"/>
        <color theme="1"/>
        <rFont val="Calibri"/>
        <family val="2"/>
        <scheme val="minor"/>
      </rPr>
      <t>fictitious)</t>
    </r>
  </si>
  <si>
    <r>
      <t>Temperature (</t>
    </r>
    <r>
      <rPr>
        <sz val="11"/>
        <color theme="1"/>
        <rFont val="Calibri"/>
        <family val="2"/>
      </rPr>
      <t>˚</t>
    </r>
    <r>
      <rPr>
        <sz val="11"/>
        <color theme="1"/>
        <rFont val="Calibri"/>
        <family val="2"/>
        <scheme val="minor"/>
      </rPr>
      <t>C)</t>
    </r>
  </si>
  <si>
    <t>Oxygen concentration (mg/L)</t>
  </si>
  <si>
    <t>Sediment OC (g/g)</t>
  </si>
  <si>
    <t>Ksw = 0.35*OC*Kow (kg/L)</t>
  </si>
  <si>
    <t>Sediment density (kg/L)</t>
  </si>
  <si>
    <t>Cspw (sed. pore water) (mg/L)</t>
  </si>
  <si>
    <t>Cspw (sed. pore water) (mol/m3)</t>
  </si>
  <si>
    <t>Fugacity water, fw (Pa)</t>
  </si>
  <si>
    <t>Fugacity sediment, fs (Pa)</t>
  </si>
  <si>
    <t>Lipid content (g/g)</t>
  </si>
  <si>
    <t>mass (g)</t>
  </si>
  <si>
    <t>Respiratory flow, Gw (L/day)</t>
  </si>
  <si>
    <t>respiration uptake, k1 (days-1)</t>
  </si>
  <si>
    <t>food uptake, kd (days-1)</t>
  </si>
  <si>
    <t>D1 resptn (mol/Pa.day)</t>
  </si>
  <si>
    <t>Dd food intake (mol/Pa.day)</t>
  </si>
  <si>
    <t>km, metabolism (days-1)</t>
  </si>
  <si>
    <t>k2, or kv respir loss (days-1)</t>
  </si>
  <si>
    <t>ke, egestion loss (days-1)</t>
  </si>
  <si>
    <t>kt, total loss (days-1)</t>
  </si>
  <si>
    <t>Dg growth diln (mol/Pa. day)</t>
  </si>
  <si>
    <t>Dv respir loss (mol/Pa.day)</t>
  </si>
  <si>
    <t>De egestion (mol/Pa.day)</t>
  </si>
  <si>
    <t>Dt total loss (mol/Pa.day)</t>
  </si>
  <si>
    <t>input value</t>
  </si>
  <si>
    <t>TL(species 1)</t>
  </si>
  <si>
    <t>TL(species 2)</t>
  </si>
  <si>
    <t>TL(species 3)</t>
  </si>
  <si>
    <t>TL(species 4)</t>
  </si>
  <si>
    <t>TL(species 5)</t>
  </si>
  <si>
    <t>Diet pref for Sp1</t>
  </si>
  <si>
    <t>Diet pref for Sp2</t>
  </si>
  <si>
    <t>Diet pref for Sp3</t>
  </si>
  <si>
    <t>Diet pref for Sp4</t>
  </si>
  <si>
    <t>Diet pref for Sp5</t>
  </si>
  <si>
    <t>TL(species 6)</t>
  </si>
  <si>
    <t>Chemical properties</t>
  </si>
  <si>
    <t>Phytoplankton</t>
  </si>
  <si>
    <t>Zooplankton</t>
  </si>
  <si>
    <t>Mysis</t>
  </si>
  <si>
    <t>Smelt</t>
  </si>
  <si>
    <t>Trout</t>
  </si>
  <si>
    <t>Amphipod</t>
  </si>
  <si>
    <t>C3   CBR  mol/m3</t>
  </si>
  <si>
    <t>C4    CBR  mol/m3</t>
  </si>
  <si>
    <t>C5   CBR  mol/m3</t>
  </si>
  <si>
    <t>C6 CBR mol/m3</t>
  </si>
  <si>
    <t>TL(species 7)</t>
  </si>
  <si>
    <t>Diet pref for Sp6</t>
  </si>
  <si>
    <t>Cd7  uptake mg/kg</t>
  </si>
  <si>
    <t xml:space="preserve">C7 mg/kg lipid </t>
  </si>
  <si>
    <t>C7 CBR mol/m3</t>
  </si>
  <si>
    <t>BAF7</t>
  </si>
  <si>
    <t>BMF76 (whole)</t>
  </si>
  <si>
    <t>BMF76 (lipid norm)</t>
  </si>
  <si>
    <t>Dietary preferences feeding matrix</t>
  </si>
  <si>
    <t>Species on top pref for species @ side</t>
  </si>
  <si>
    <t>Average BMFlw species 4 to 7</t>
  </si>
  <si>
    <t>TMF:</t>
  </si>
  <si>
    <t>Cs (sediment) (mg/kg or g/Mg)</t>
  </si>
  <si>
    <t>fugacity related values</t>
  </si>
  <si>
    <t>Food Web Model applied to aquatic organisms (pelagic)</t>
  </si>
  <si>
    <t>Diet pref for Sp0</t>
  </si>
  <si>
    <t>Species 1 in equ with sediment pore water</t>
  </si>
  <si>
    <t>Sculpin</t>
  </si>
  <si>
    <t>Food Web Model applied to aquatic organisms (demersal/benthic)</t>
  </si>
  <si>
    <t xml:space="preserve">Trophic level TL </t>
  </si>
  <si>
    <t>Detritus (foc)</t>
  </si>
  <si>
    <t>Fugacity2 (Pa)</t>
  </si>
  <si>
    <t>Fugacity3 (Pa)</t>
  </si>
  <si>
    <t>Fugacity4 (Pa)</t>
  </si>
  <si>
    <t xml:space="preserve">Fugacity0 (Pa) </t>
  </si>
  <si>
    <t>Fugacity1 (Pa)</t>
  </si>
  <si>
    <t>Fugacity5 (Pa)</t>
  </si>
  <si>
    <t>Fugacity6 (Pa)</t>
  </si>
  <si>
    <t>Fugacity7 (Pa)</t>
  </si>
  <si>
    <t>Average BMFlw species 2 to 5</t>
  </si>
  <si>
    <t>Cd2: Uptake</t>
  </si>
  <si>
    <t>BAF2</t>
  </si>
  <si>
    <t>Cd2 Uptake</t>
  </si>
  <si>
    <t>BMF21 (lipid norm)</t>
  </si>
  <si>
    <t>BMF21 (whole)</t>
  </si>
  <si>
    <t>BMF32 (whole)</t>
  </si>
  <si>
    <t>BMF32 (lipid norm)</t>
  </si>
  <si>
    <t>Trophic Level (TL) of Detritus</t>
  </si>
  <si>
    <t>Species #</t>
  </si>
  <si>
    <t>Species name</t>
  </si>
  <si>
    <t>Detritus</t>
  </si>
  <si>
    <t>Predator-prey feeding matrix: Consumers (top) that eat prey (side) are marked with an X</t>
  </si>
  <si>
    <t>X</t>
  </si>
  <si>
    <t>Species #:</t>
  </si>
  <si>
    <t>C1 equil with water mg/kg</t>
  </si>
  <si>
    <t>C2 mg/kg</t>
  </si>
  <si>
    <t>C3 mg/kg</t>
  </si>
  <si>
    <t>C4 mg/kg</t>
  </si>
  <si>
    <t>C5 mg/kg</t>
  </si>
  <si>
    <t>C6  mg/kg</t>
  </si>
  <si>
    <t>C7 mg/kg</t>
  </si>
  <si>
    <t>C1 equil with water TL1 mg/kg</t>
  </si>
  <si>
    <t>C6 mg/kg</t>
  </si>
  <si>
    <t>C6 mol/m3</t>
  </si>
  <si>
    <t>C4 mol/m3</t>
  </si>
  <si>
    <t>C3 mol/m3</t>
  </si>
  <si>
    <t>km (at 15degC)</t>
  </si>
  <si>
    <t>km ( at 15degC)</t>
  </si>
  <si>
    <t>BMF21 (wet weight)</t>
  </si>
  <si>
    <t>BMF32 (wet weight)</t>
  </si>
  <si>
    <t>Cd6 Uptake:</t>
  </si>
  <si>
    <t>C6 mg/kg lipid</t>
  </si>
  <si>
    <t>BMF63 (wet weight)</t>
  </si>
  <si>
    <t>BMF63 (lipid norm)</t>
  </si>
  <si>
    <t>Cd7 uptake mg/kg</t>
  </si>
  <si>
    <t>C7 mol/m3</t>
  </si>
  <si>
    <t>BMF76 (wet weight)</t>
  </si>
  <si>
    <t xml:space="preserve">Fugacity4 (Pa) </t>
  </si>
  <si>
    <t>BMF40 (wet weight)</t>
  </si>
  <si>
    <t>BMF40 (lipid norm)</t>
  </si>
  <si>
    <t>C0 equil with sediment mg/kg</t>
  </si>
  <si>
    <t>C0 mg/kg lipid</t>
  </si>
  <si>
    <t>C0 mol/m3</t>
  </si>
  <si>
    <t>Cd4: Uptake</t>
  </si>
  <si>
    <t>Cd5: Uptake</t>
  </si>
  <si>
    <t>C5 CBR  mol/m3</t>
  </si>
  <si>
    <t>BMF54 (wet weight)</t>
  </si>
  <si>
    <t>BMF54 (lipid norm)</t>
  </si>
  <si>
    <t>Cd7 Uptake:</t>
  </si>
  <si>
    <t>C7 mg/kg lipid</t>
  </si>
  <si>
    <t>C7 CBR  mol/m3</t>
  </si>
  <si>
    <t>BMF75 (whole)</t>
  </si>
  <si>
    <t>BMF75 (lipid norm)</t>
  </si>
  <si>
    <t>C4 mg/kg in equilibrium with Detritus</t>
  </si>
  <si>
    <t>Food Web Model applied to aquatic organisms (combined pelagic and demersal)</t>
  </si>
  <si>
    <t xml:space="preserve">Av slope  log f/TL sp 4-7 </t>
  </si>
  <si>
    <t>Average BMF (species 57)</t>
  </si>
  <si>
    <t>Cd3 Uptake:</t>
  </si>
  <si>
    <r>
      <t>Respiration efficiency, Ew</t>
    </r>
    <r>
      <rPr>
        <i/>
        <sz val="11"/>
        <color theme="1"/>
        <rFont val="Calibri"/>
        <family val="2"/>
        <scheme val="minor"/>
      </rPr>
      <t xml:space="preserve"> (A&amp;G, 2004)</t>
    </r>
  </si>
  <si>
    <r>
      <t xml:space="preserve">Dietary uptake, Gd (kg/day) </t>
    </r>
    <r>
      <rPr>
        <i/>
        <sz val="11"/>
        <color theme="1"/>
        <rFont val="Calibri"/>
        <family val="2"/>
        <scheme val="minor"/>
      </rPr>
      <t>(Gewurtz et al 2006)</t>
    </r>
  </si>
  <si>
    <r>
      <t xml:space="preserve">kg, growth dilution (days-1) </t>
    </r>
    <r>
      <rPr>
        <i/>
        <sz val="11"/>
        <color theme="1"/>
        <rFont val="Calibri"/>
        <family val="2"/>
        <scheme val="minor"/>
      </rPr>
      <t>(Gewurtz et al 2006)</t>
    </r>
  </si>
  <si>
    <r>
      <t>Respiration efficiency, Ew</t>
    </r>
    <r>
      <rPr>
        <i/>
        <sz val="11"/>
        <color theme="1"/>
        <rFont val="Calibri"/>
        <family val="2"/>
        <scheme val="minor"/>
      </rPr>
      <t xml:space="preserve"> (Arnot &amp; Gobas 2004)</t>
    </r>
  </si>
  <si>
    <r>
      <t xml:space="preserve">Respiration efficiency, Ew </t>
    </r>
    <r>
      <rPr>
        <i/>
        <sz val="11"/>
        <color theme="1"/>
        <rFont val="Calibri"/>
        <family val="2"/>
        <scheme val="minor"/>
      </rPr>
      <t>(Arnot &amp; Gobas 2004)</t>
    </r>
  </si>
  <si>
    <r>
      <t>Dietary uptake, Gd (kg/day)</t>
    </r>
    <r>
      <rPr>
        <i/>
        <sz val="11"/>
        <color theme="1"/>
        <rFont val="Calibri"/>
        <family val="2"/>
        <scheme val="minor"/>
      </rPr>
      <t xml:space="preserve"> (Gewurtz et al 2006)</t>
    </r>
  </si>
  <si>
    <r>
      <t>kg, growth dilution (days-1)</t>
    </r>
    <r>
      <rPr>
        <i/>
        <sz val="11"/>
        <color theme="1"/>
        <rFont val="Calibri"/>
        <family val="2"/>
        <scheme val="minor"/>
      </rPr>
      <t xml:space="preserve"> (Gewurtz et al 2006)</t>
    </r>
  </si>
  <si>
    <r>
      <t xml:space="preserve">Dietary uptake efficiency, Ed </t>
    </r>
    <r>
      <rPr>
        <i/>
        <sz val="11"/>
        <color theme="1"/>
        <rFont val="Calibri"/>
        <family val="2"/>
        <scheme val="minor"/>
      </rPr>
      <t>(Mackay et al 1988)</t>
    </r>
  </si>
  <si>
    <r>
      <t xml:space="preserve">Dietary uptake efficiency, Ed  </t>
    </r>
    <r>
      <rPr>
        <i/>
        <sz val="11"/>
        <color theme="1"/>
        <rFont val="Calibri"/>
        <family val="2"/>
        <scheme val="minor"/>
      </rPr>
      <t xml:space="preserve"> (Mackay et al 1988)</t>
    </r>
  </si>
  <si>
    <t>Slope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</si>
</sst>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1" tint="0.499984740745262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0" fillId="0" borderId="0" xfId="0" applyFill="1"/>
    <xf numFmtId="0" fontId="1" fillId="0" borderId="0" xfId="0" applyFont="1" applyFill="1"/>
    <xf numFmtId="0" fontId="4" fillId="0" borderId="0" xfId="0" applyFont="1" applyBorder="1"/>
    <xf numFmtId="0" fontId="2" fillId="0" borderId="0" xfId="0" applyFont="1" applyFill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0" borderId="1" xfId="0" applyFont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8" xfId="0" applyFill="1" applyBorder="1"/>
    <xf numFmtId="0" fontId="0" fillId="3" borderId="4" xfId="0" applyFill="1" applyBorder="1"/>
    <xf numFmtId="0" fontId="0" fillId="3" borderId="0" xfId="0" applyFill="1" applyBorder="1"/>
    <xf numFmtId="0" fontId="5" fillId="0" borderId="3" xfId="0" applyFont="1" applyFill="1" applyBorder="1" applyAlignment="1"/>
    <xf numFmtId="0" fontId="3" fillId="0" borderId="1" xfId="0" applyFont="1" applyFill="1" applyBorder="1"/>
    <xf numFmtId="0" fontId="2" fillId="0" borderId="4" xfId="0" applyFont="1" applyBorder="1"/>
    <xf numFmtId="0" fontId="0" fillId="0" borderId="0" xfId="0" applyFill="1" applyBorder="1"/>
    <xf numFmtId="0" fontId="0" fillId="0" borderId="4" xfId="0" applyFont="1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0" xfId="0" applyFill="1" applyBorder="1"/>
    <xf numFmtId="0" fontId="0" fillId="4" borderId="4" xfId="0" applyFill="1" applyBorder="1"/>
    <xf numFmtId="0" fontId="0" fillId="0" borderId="3" xfId="0" applyFill="1" applyBorder="1"/>
    <xf numFmtId="0" fontId="0" fillId="2" borderId="4" xfId="0" applyFill="1" applyBorder="1"/>
    <xf numFmtId="0" fontId="0" fillId="2" borderId="0" xfId="0" applyFill="1" applyBorder="1"/>
    <xf numFmtId="0" fontId="0" fillId="4" borderId="5" xfId="0" applyFill="1" applyBorder="1"/>
    <xf numFmtId="0" fontId="5" fillId="0" borderId="0" xfId="0" applyFont="1" applyFill="1" applyBorder="1" applyAlignment="1"/>
    <xf numFmtId="0" fontId="3" fillId="0" borderId="0" xfId="0" applyFont="1" applyBorder="1"/>
    <xf numFmtId="0" fontId="3" fillId="0" borderId="5" xfId="0" applyFont="1" applyBorder="1"/>
    <xf numFmtId="0" fontId="3" fillId="0" borderId="2" xfId="0" applyFont="1" applyBorder="1"/>
    <xf numFmtId="0" fontId="0" fillId="0" borderId="6" xfId="0" applyFont="1" applyBorder="1"/>
    <xf numFmtId="0" fontId="0" fillId="0" borderId="7" xfId="0" applyFont="1" applyBorder="1"/>
    <xf numFmtId="0" fontId="4" fillId="0" borderId="4" xfId="0" applyFont="1" applyBorder="1"/>
    <xf numFmtId="0" fontId="3" fillId="0" borderId="4" xfId="0" applyFont="1" applyBorder="1"/>
    <xf numFmtId="0" fontId="0" fillId="0" borderId="0" xfId="0" applyBorder="1" applyAlignment="1">
      <alignment horizontal="right"/>
    </xf>
    <xf numFmtId="0" fontId="3" fillId="0" borderId="3" xfId="0" applyFont="1" applyBorder="1"/>
    <xf numFmtId="0" fontId="0" fillId="0" borderId="7" xfId="0" applyFill="1" applyBorder="1"/>
    <xf numFmtId="0" fontId="0" fillId="0" borderId="1" xfId="0" applyBorder="1"/>
    <xf numFmtId="0" fontId="0" fillId="2" borderId="5" xfId="0" applyFill="1" applyBorder="1"/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0" xfId="0" applyFont="1" applyBorder="1" applyAlignment="1">
      <alignment horizontal="right"/>
    </xf>
    <xf numFmtId="0" fontId="0" fillId="0" borderId="0" xfId="0" applyFont="1" applyBorder="1"/>
    <xf numFmtId="0" fontId="0" fillId="0" borderId="5" xfId="0" applyFont="1" applyBorder="1"/>
    <xf numFmtId="0" fontId="0" fillId="0" borderId="4" xfId="0" applyFont="1" applyBorder="1"/>
    <xf numFmtId="0" fontId="0" fillId="0" borderId="0" xfId="0" applyFont="1" applyBorder="1" applyAlignment="1">
      <alignment horizontal="right"/>
    </xf>
    <xf numFmtId="0" fontId="0" fillId="0" borderId="8" xfId="0" applyFont="1" applyBorder="1"/>
    <xf numFmtId="0" fontId="0" fillId="4" borderId="0" xfId="0" applyFont="1" applyFill="1" applyBorder="1"/>
    <xf numFmtId="4" fontId="0" fillId="0" borderId="5" xfId="0" applyNumberFormat="1" applyBorder="1"/>
    <xf numFmtId="0" fontId="3" fillId="0" borderId="0" xfId="0" applyFont="1" applyBorder="1" applyAlignment="1">
      <alignment horizontal="center"/>
    </xf>
    <xf numFmtId="4" fontId="0" fillId="0" borderId="0" xfId="0" applyNumberFormat="1" applyBorder="1"/>
    <xf numFmtId="0" fontId="7" fillId="0" borderId="4" xfId="0" applyFont="1" applyBorder="1"/>
    <xf numFmtId="0" fontId="4" fillId="0" borderId="2" xfId="0" applyFont="1" applyBorder="1"/>
    <xf numFmtId="0" fontId="4" fillId="0" borderId="0" xfId="0" applyFont="1" applyFill="1" applyBorder="1"/>
    <xf numFmtId="0" fontId="8" fillId="0" borderId="0" xfId="0" applyFont="1" applyFill="1" applyBorder="1"/>
    <xf numFmtId="0" fontId="3" fillId="0" borderId="6" xfId="0" applyFont="1" applyBorder="1"/>
    <xf numFmtId="11" fontId="0" fillId="4" borderId="0" xfId="0" applyNumberFormat="1" applyFill="1" applyBorder="1"/>
    <xf numFmtId="3" fontId="0" fillId="4" borderId="0" xfId="0" applyNumberFormat="1" applyFill="1" applyBorder="1"/>
    <xf numFmtId="4" fontId="0" fillId="0" borderId="5" xfId="0" applyNumberFormat="1" applyFill="1" applyBorder="1"/>
    <xf numFmtId="4" fontId="0" fillId="0" borderId="5" xfId="0" applyNumberFormat="1" applyFont="1" applyBorder="1"/>
    <xf numFmtId="0" fontId="0" fillId="5" borderId="0" xfId="0" applyFill="1" applyBorder="1"/>
    <xf numFmtId="4" fontId="0" fillId="0" borderId="8" xfId="0" applyNumberFormat="1" applyFill="1" applyBorder="1"/>
    <xf numFmtId="0" fontId="0" fillId="0" borderId="5" xfId="0" applyFont="1" applyFill="1" applyBorder="1"/>
    <xf numFmtId="0" fontId="0" fillId="0" borderId="8" xfId="0" applyFont="1" applyFill="1" applyBorder="1"/>
    <xf numFmtId="0" fontId="3" fillId="0" borderId="5" xfId="0" applyFont="1" applyBorder="1" applyAlignment="1">
      <alignment horizontal="right"/>
    </xf>
    <xf numFmtId="0" fontId="2" fillId="0" borderId="0" xfId="0" applyFont="1" applyBorder="1" applyAlignment="1"/>
    <xf numFmtId="0" fontId="0" fillId="4" borderId="4" xfId="0" applyFont="1" applyFill="1" applyBorder="1"/>
    <xf numFmtId="0" fontId="0" fillId="3" borderId="6" xfId="0" applyFill="1" applyBorder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6" borderId="7" xfId="0" applyFill="1" applyBorder="1"/>
    <xf numFmtId="0" fontId="0" fillId="6" borderId="8" xfId="0" applyFill="1" applyBorder="1"/>
    <xf numFmtId="0" fontId="0" fillId="6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0" fillId="4" borderId="8" xfId="0" applyFill="1" applyBorder="1"/>
    <xf numFmtId="4" fontId="0" fillId="0" borderId="0" xfId="0" applyNumberFormat="1" applyFont="1" applyBorder="1"/>
    <xf numFmtId="4" fontId="0" fillId="0" borderId="7" xfId="0" applyNumberFormat="1" applyFont="1" applyBorder="1"/>
    <xf numFmtId="0" fontId="0" fillId="0" borderId="0" xfId="0" applyBorder="1" applyAlignment="1">
      <alignment horizontal="left"/>
    </xf>
    <xf numFmtId="0" fontId="3" fillId="0" borderId="7" xfId="0" applyFont="1" applyBorder="1" applyAlignment="1">
      <alignment horizontal="right"/>
    </xf>
    <xf numFmtId="0" fontId="4" fillId="0" borderId="0" xfId="0" applyFont="1"/>
    <xf numFmtId="0" fontId="2" fillId="0" borderId="0" xfId="0" applyFont="1"/>
    <xf numFmtId="11" fontId="0" fillId="0" borderId="5" xfId="0" applyNumberFormat="1" applyBorder="1"/>
    <xf numFmtId="11" fontId="0" fillId="0" borderId="0" xfId="0" applyNumberFormat="1"/>
    <xf numFmtId="0" fontId="0" fillId="0" borderId="0" xfId="0" applyFont="1" applyFill="1" applyBorder="1"/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164" fontId="0" fillId="0" borderId="0" xfId="0" applyNumberFormat="1" applyBorder="1"/>
    <xf numFmtId="0" fontId="8" fillId="0" borderId="0" xfId="0" applyFont="1"/>
    <xf numFmtId="0" fontId="0" fillId="0" borderId="0" xfId="0" applyFont="1" applyFill="1"/>
    <xf numFmtId="11" fontId="0" fillId="0" borderId="0" xfId="0" applyNumberFormat="1" applyBorder="1"/>
    <xf numFmtId="0" fontId="2" fillId="0" borderId="0" xfId="0" applyFont="1" applyFill="1" applyBorder="1"/>
    <xf numFmtId="4" fontId="0" fillId="0" borderId="0" xfId="0" applyNumberFormat="1" applyAlignment="1">
      <alignment horizontal="left"/>
    </xf>
    <xf numFmtId="164" fontId="0" fillId="0" borderId="5" xfId="0" applyNumberFormat="1" applyBorder="1"/>
    <xf numFmtId="0" fontId="4" fillId="0" borderId="0" xfId="0" applyFont="1" applyFill="1"/>
    <xf numFmtId="11" fontId="4" fillId="0" borderId="0" xfId="0" applyNumberFormat="1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11" fontId="0" fillId="0" borderId="0" xfId="0" applyNumberFormat="1" applyFill="1"/>
    <xf numFmtId="4" fontId="0" fillId="0" borderId="0" xfId="0" applyNumberFormat="1" applyFill="1"/>
    <xf numFmtId="0" fontId="2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4" fontId="10" fillId="0" borderId="0" xfId="0" applyNumberFormat="1" applyFont="1" applyBorder="1" applyAlignment="1">
      <alignment horizontal="center"/>
    </xf>
    <xf numFmtId="0" fontId="0" fillId="3" borderId="5" xfId="0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3" fillId="3" borderId="0" xfId="0" applyFont="1" applyFill="1" applyBorder="1" applyAlignment="1" applyProtection="1">
      <alignment horizontal="center"/>
      <protection locked="0"/>
    </xf>
    <xf numFmtId="0" fontId="3" fillId="3" borderId="5" xfId="0" applyFont="1" applyFill="1" applyBorder="1" applyAlignment="1" applyProtection="1">
      <alignment horizontal="center"/>
      <protection locked="0"/>
    </xf>
    <xf numFmtId="0" fontId="0" fillId="3" borderId="0" xfId="0" applyFill="1" applyBorder="1" applyProtection="1">
      <protection locked="0"/>
    </xf>
    <xf numFmtId="0" fontId="0" fillId="0" borderId="0" xfId="0" applyBorder="1" applyProtection="1">
      <protection locked="0"/>
    </xf>
    <xf numFmtId="11" fontId="0" fillId="3" borderId="0" xfId="0" applyNumberFormat="1" applyFill="1" applyBorder="1" applyProtection="1">
      <protection locked="0"/>
    </xf>
    <xf numFmtId="11" fontId="0" fillId="3" borderId="0" xfId="0" applyNumberFormat="1" applyFont="1" applyFill="1" applyBorder="1" applyProtection="1">
      <protection locked="0"/>
    </xf>
    <xf numFmtId="0" fontId="2" fillId="3" borderId="5" xfId="0" applyFont="1" applyFill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3" borderId="5" xfId="0" applyFont="1" applyFill="1" applyBorder="1" applyProtection="1"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5" xfId="0" applyBorder="1" applyProtection="1">
      <protection locked="0"/>
    </xf>
    <xf numFmtId="0" fontId="0" fillId="0" borderId="0" xfId="0" applyBorder="1" applyProtection="1"/>
    <xf numFmtId="0" fontId="0" fillId="0" borderId="5" xfId="0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Aqua food web: Log fugacity vs Trophic Level</a:t>
            </a:r>
          </a:p>
        </c:rich>
      </c:tx>
      <c:layout>
        <c:manualLayout>
          <c:xMode val="edge"/>
          <c:yMode val="edge"/>
          <c:x val="0.18685544898799286"/>
          <c:y val="3.30053147556060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Log fugacity vs Trophic Level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6686153701872025"/>
                  <c:y val="-3.8739115019277855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'Model 1 (Combined)'!$B$158:$I$158</c:f>
              <c:numCache>
                <c:formatCode>General</c:formatCode>
                <c:ptCount val="8"/>
                <c:pt idx="0">
                  <c:v>1.5</c:v>
                </c:pt>
                <c:pt idx="1">
                  <c:v>1</c:v>
                </c:pt>
                <c:pt idx="2">
                  <c:v>2</c:v>
                </c:pt>
                <c:pt idx="3">
                  <c:v>2.8</c:v>
                </c:pt>
                <c:pt idx="4">
                  <c:v>2.4950000000000001</c:v>
                </c:pt>
                <c:pt idx="5">
                  <c:v>3.4717500000000001</c:v>
                </c:pt>
                <c:pt idx="6">
                  <c:v>3.5542499999999997</c:v>
                </c:pt>
                <c:pt idx="7">
                  <c:v>4.3399000000000001</c:v>
                </c:pt>
              </c:numCache>
            </c:numRef>
          </c:xVal>
          <c:yVal>
            <c:numRef>
              <c:f>'Model 1 (Combined)'!$B$159:$I$159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0.39980674204685046</c:v>
                </c:pt>
                <c:pt idx="3">
                  <c:v>0.87740892612229082</c:v>
                </c:pt>
                <c:pt idx="4">
                  <c:v>0.5372439939377075</c:v>
                </c:pt>
                <c:pt idx="5">
                  <c:v>1.266375459753343</c:v>
                </c:pt>
                <c:pt idx="6">
                  <c:v>1.407471931699926</c:v>
                </c:pt>
                <c:pt idx="7">
                  <c:v>1.9871716046506298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5232880"/>
        <c:axId val="345233272"/>
      </c:scatterChart>
      <c:valAx>
        <c:axId val="345232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Trophic Level (TL)</a:t>
                </a:r>
              </a:p>
            </c:rich>
          </c:tx>
          <c:layout>
            <c:manualLayout>
              <c:xMode val="edge"/>
              <c:yMode val="edge"/>
              <c:x val="0.43759315043723479"/>
              <c:y val="0.900167357718832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5233272"/>
        <c:crosses val="autoZero"/>
        <c:crossBetween val="midCat"/>
      </c:valAx>
      <c:valAx>
        <c:axId val="345233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Log Fugacity (Pa)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52328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Pelagic food web: Log fugacity vs Trophic level</a:t>
            </a:r>
          </a:p>
        </c:rich>
      </c:tx>
      <c:layout>
        <c:manualLayout>
          <c:xMode val="edge"/>
          <c:yMode val="edge"/>
          <c:x val="0.17851659633787959"/>
          <c:y val="4.52044165070867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Log fugacity vs Trophic level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6.0582895888014E-2"/>
                  <c:y val="-1.421968899525865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'Model 2 (Pelagic)'!$B$118:$F$118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'Model 2 (Pelagic)'!$B$119:$F$119</c:f>
              <c:numCache>
                <c:formatCode>General</c:formatCode>
                <c:ptCount val="5"/>
                <c:pt idx="0">
                  <c:v>-4.821637332766436E-17</c:v>
                </c:pt>
                <c:pt idx="1">
                  <c:v>0.54823191053850973</c:v>
                </c:pt>
                <c:pt idx="2">
                  <c:v>1.1871507776885348</c:v>
                </c:pt>
                <c:pt idx="3">
                  <c:v>1.8745715885089023</c:v>
                </c:pt>
                <c:pt idx="4">
                  <c:v>2.6002241822385028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5234056"/>
        <c:axId val="345433456"/>
      </c:scatterChart>
      <c:valAx>
        <c:axId val="345234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200"/>
                  <a:t>Trophic</a:t>
                </a:r>
                <a:r>
                  <a:rPr lang="en-CA" sz="1200" baseline="0"/>
                  <a:t> Level (TL)</a:t>
                </a:r>
                <a:endParaRPr lang="en-CA" sz="1200"/>
              </a:p>
            </c:rich>
          </c:tx>
          <c:layout>
            <c:manualLayout>
              <c:xMode val="edge"/>
              <c:yMode val="edge"/>
              <c:x val="0.43241821709674549"/>
              <c:y val="0.893091554960739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5433456"/>
        <c:crosses val="autoZero"/>
        <c:crossBetween val="midCat"/>
      </c:valAx>
      <c:valAx>
        <c:axId val="345433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200"/>
                  <a:t>Log Fogacity (Pa)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52340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Demersal</a:t>
            </a:r>
            <a:r>
              <a:rPr lang="en-US" baseline="0"/>
              <a:t> food web: </a:t>
            </a:r>
            <a:r>
              <a:rPr lang="en-US"/>
              <a:t>Log fugacity vs Trophic Level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Log fugacity vs Trophic Level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2.013254593175853E-2"/>
                  <c:y val="-2.950217502030226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5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'Model 3 (Demersal)'!$B$112:$E$112</c:f>
              <c:numCache>
                <c:formatCode>General</c:formatCode>
                <c:ptCount val="4"/>
                <c:pt idx="0">
                  <c:v>1.5</c:v>
                </c:pt>
                <c:pt idx="1">
                  <c:v>2.5</c:v>
                </c:pt>
                <c:pt idx="2">
                  <c:v>3.5</c:v>
                </c:pt>
                <c:pt idx="3">
                  <c:v>4.5</c:v>
                </c:pt>
              </c:numCache>
            </c:numRef>
          </c:xVal>
          <c:yVal>
            <c:numRef>
              <c:f>'Model 3 (Demersal)'!$B$113:$E$113</c:f>
              <c:numCache>
                <c:formatCode>General</c:formatCode>
                <c:ptCount val="4"/>
                <c:pt idx="0">
                  <c:v>1.4771212547196624</c:v>
                </c:pt>
                <c:pt idx="1">
                  <c:v>1.4771212547196624</c:v>
                </c:pt>
                <c:pt idx="2">
                  <c:v>1.8410584849420291</c:v>
                </c:pt>
                <c:pt idx="3">
                  <c:v>2.4542267190330613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5434240"/>
        <c:axId val="345434632"/>
      </c:scatterChart>
      <c:valAx>
        <c:axId val="345434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Trophic Level (TL)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5434632"/>
        <c:crosses val="autoZero"/>
        <c:crossBetween val="midCat"/>
      </c:valAx>
      <c:valAx>
        <c:axId val="345434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Log Fugacity (Pa)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5434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487845</xdr:colOff>
      <xdr:row>162</xdr:row>
      <xdr:rowOff>121752</xdr:rowOff>
    </xdr:from>
    <xdr:to>
      <xdr:col>5</xdr:col>
      <xdr:colOff>95250</xdr:colOff>
      <xdr:row>178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41414</xdr:colOff>
      <xdr:row>122</xdr:row>
      <xdr:rowOff>115129</xdr:rowOff>
    </xdr:from>
    <xdr:to>
      <xdr:col>4</xdr:col>
      <xdr:colOff>157369</xdr:colOff>
      <xdr:row>139</xdr:row>
      <xdr:rowOff>24848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116</xdr:row>
      <xdr:rowOff>139975</xdr:rowOff>
    </xdr:from>
    <xdr:to>
      <xdr:col>3</xdr:col>
      <xdr:colOff>712303</xdr:colOff>
      <xdr:row>132</xdr:row>
      <xdr:rowOff>182217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2"/>
  <sheetViews>
    <sheetView tabSelected="1" workbookViewId="0">
      <selection activeCell="C9" sqref="C9"/>
    </sheetView>
  </sheetViews>
  <sheetFormatPr defaultRowHeight="15" x14ac:dyDescent="0.25"/>
  <cols>
    <col min="2" max="2" width="11.42578125" style="75" customWidth="1"/>
    <col min="3" max="3" width="13.28515625" style="75" bestFit="1" customWidth="1"/>
  </cols>
  <sheetData>
    <row r="2" spans="2:13" ht="15.75" thickBot="1" x14ac:dyDescent="0.3"/>
    <row r="3" spans="2:13" ht="15.75" thickBot="1" x14ac:dyDescent="0.3">
      <c r="E3" s="112" t="s">
        <v>159</v>
      </c>
      <c r="F3" s="113"/>
      <c r="G3" s="113"/>
      <c r="H3" s="113"/>
      <c r="I3" s="113"/>
      <c r="J3" s="113"/>
      <c r="K3" s="113"/>
      <c r="L3" s="113"/>
      <c r="M3" s="114"/>
    </row>
    <row r="4" spans="2:13" x14ac:dyDescent="0.25">
      <c r="B4" s="76" t="s">
        <v>156</v>
      </c>
      <c r="C4" s="77" t="s">
        <v>157</v>
      </c>
      <c r="E4" s="83" t="s">
        <v>31</v>
      </c>
      <c r="F4" s="81">
        <v>0</v>
      </c>
      <c r="G4" s="81">
        <v>1</v>
      </c>
      <c r="H4" s="81">
        <v>2</v>
      </c>
      <c r="I4" s="81">
        <v>3</v>
      </c>
      <c r="J4" s="81">
        <v>4</v>
      </c>
      <c r="K4" s="81">
        <v>5</v>
      </c>
      <c r="L4" s="81">
        <v>6</v>
      </c>
      <c r="M4" s="82">
        <v>7</v>
      </c>
    </row>
    <row r="5" spans="2:13" x14ac:dyDescent="0.25">
      <c r="B5" s="78">
        <v>0</v>
      </c>
      <c r="C5" s="47" t="s">
        <v>158</v>
      </c>
      <c r="E5" s="83">
        <v>0</v>
      </c>
      <c r="F5" s="87"/>
      <c r="G5" s="88"/>
      <c r="H5" s="46"/>
      <c r="I5" s="46" t="s">
        <v>160</v>
      </c>
      <c r="J5" s="46" t="s">
        <v>160</v>
      </c>
      <c r="K5" s="46" t="s">
        <v>160</v>
      </c>
      <c r="L5" s="46"/>
      <c r="M5" s="47"/>
    </row>
    <row r="6" spans="2:13" x14ac:dyDescent="0.25">
      <c r="B6" s="78">
        <v>1</v>
      </c>
      <c r="C6" s="47" t="s">
        <v>108</v>
      </c>
      <c r="E6" s="83">
        <v>1</v>
      </c>
      <c r="F6" s="87"/>
      <c r="G6" s="87"/>
      <c r="H6" s="46" t="s">
        <v>160</v>
      </c>
      <c r="I6" s="46" t="s">
        <v>160</v>
      </c>
      <c r="J6" s="46" t="s">
        <v>160</v>
      </c>
      <c r="K6" s="46"/>
      <c r="L6" s="46"/>
      <c r="M6" s="47"/>
    </row>
    <row r="7" spans="2:13" x14ac:dyDescent="0.25">
      <c r="B7" s="78">
        <v>2</v>
      </c>
      <c r="C7" s="47" t="s">
        <v>109</v>
      </c>
      <c r="E7" s="83">
        <v>2</v>
      </c>
      <c r="F7" s="87"/>
      <c r="G7" s="87"/>
      <c r="H7" s="87"/>
      <c r="I7" s="46" t="s">
        <v>160</v>
      </c>
      <c r="J7" s="46"/>
      <c r="K7" s="46" t="s">
        <v>160</v>
      </c>
      <c r="L7" s="46" t="s">
        <v>160</v>
      </c>
      <c r="M7" s="47"/>
    </row>
    <row r="8" spans="2:13" x14ac:dyDescent="0.25">
      <c r="B8" s="78">
        <v>3</v>
      </c>
      <c r="C8" s="47" t="s">
        <v>110</v>
      </c>
      <c r="E8" s="83">
        <v>3</v>
      </c>
      <c r="F8" s="87"/>
      <c r="G8" s="87"/>
      <c r="H8" s="87"/>
      <c r="I8" s="87"/>
      <c r="J8" s="46"/>
      <c r="K8" s="46" t="s">
        <v>160</v>
      </c>
      <c r="L8" s="46" t="s">
        <v>160</v>
      </c>
      <c r="M8" s="47" t="s">
        <v>160</v>
      </c>
    </row>
    <row r="9" spans="2:13" x14ac:dyDescent="0.25">
      <c r="B9" s="78">
        <v>4</v>
      </c>
      <c r="C9" s="47" t="s">
        <v>113</v>
      </c>
      <c r="E9" s="83">
        <v>4</v>
      </c>
      <c r="F9" s="87"/>
      <c r="G9" s="87"/>
      <c r="H9" s="87"/>
      <c r="I9" s="87"/>
      <c r="J9" s="87"/>
      <c r="K9" s="46"/>
      <c r="L9" s="46" t="s">
        <v>160</v>
      </c>
      <c r="M9" s="47" t="s">
        <v>160</v>
      </c>
    </row>
    <row r="10" spans="2:13" x14ac:dyDescent="0.25">
      <c r="B10" s="78">
        <v>5</v>
      </c>
      <c r="C10" s="47" t="s">
        <v>135</v>
      </c>
      <c r="E10" s="83">
        <v>5</v>
      </c>
      <c r="F10" s="87"/>
      <c r="G10" s="87"/>
      <c r="H10" s="87"/>
      <c r="I10" s="87"/>
      <c r="J10" s="87"/>
      <c r="K10" s="87"/>
      <c r="L10" s="46"/>
      <c r="M10" s="47" t="s">
        <v>160</v>
      </c>
    </row>
    <row r="11" spans="2:13" x14ac:dyDescent="0.25">
      <c r="B11" s="78">
        <v>6</v>
      </c>
      <c r="C11" s="47" t="s">
        <v>111</v>
      </c>
      <c r="E11" s="83">
        <v>6</v>
      </c>
      <c r="F11" s="87"/>
      <c r="G11" s="87"/>
      <c r="H11" s="87"/>
      <c r="I11" s="87"/>
      <c r="J11" s="87"/>
      <c r="K11" s="87"/>
      <c r="L11" s="87"/>
      <c r="M11" s="47" t="s">
        <v>160</v>
      </c>
    </row>
    <row r="12" spans="2:13" ht="15.75" thickBot="1" x14ac:dyDescent="0.3">
      <c r="B12" s="79">
        <v>7</v>
      </c>
      <c r="C12" s="80" t="s">
        <v>112</v>
      </c>
      <c r="E12" s="84">
        <v>7</v>
      </c>
      <c r="F12" s="85"/>
      <c r="G12" s="85"/>
      <c r="H12" s="85"/>
      <c r="I12" s="85"/>
      <c r="J12" s="85"/>
      <c r="K12" s="85"/>
      <c r="L12" s="85"/>
      <c r="M12" s="86"/>
    </row>
  </sheetData>
  <mergeCells count="1">
    <mergeCell ref="E3:M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6"/>
  <sheetViews>
    <sheetView topLeftCell="A19" zoomScaleNormal="100" workbookViewId="0">
      <selection activeCell="B26" sqref="B26:I26"/>
    </sheetView>
  </sheetViews>
  <sheetFormatPr defaultRowHeight="15" x14ac:dyDescent="0.25"/>
  <cols>
    <col min="1" max="1" width="34.42578125" customWidth="1"/>
    <col min="2" max="2" width="13.85546875" customWidth="1"/>
    <col min="3" max="3" width="15.5703125" bestFit="1" customWidth="1"/>
    <col min="4" max="4" width="11.28515625" customWidth="1"/>
    <col min="5" max="5" width="8.7109375" customWidth="1"/>
    <col min="6" max="6" width="11.140625" customWidth="1"/>
    <col min="7" max="7" width="11.28515625" customWidth="1"/>
    <col min="8" max="8" width="9.140625" customWidth="1"/>
  </cols>
  <sheetData>
    <row r="1" spans="1:11" ht="15.75" thickBot="1" x14ac:dyDescent="0.3">
      <c r="A1" s="118" t="s">
        <v>202</v>
      </c>
      <c r="B1" s="118"/>
      <c r="C1" s="118"/>
      <c r="D1" s="118"/>
      <c r="E1" s="118"/>
      <c r="F1" s="118"/>
      <c r="G1" s="118"/>
      <c r="H1" s="118"/>
      <c r="I1" s="118"/>
      <c r="J1" s="33"/>
      <c r="K1" s="33"/>
    </row>
    <row r="2" spans="1:11" x14ac:dyDescent="0.25">
      <c r="A2" s="13" t="s">
        <v>107</v>
      </c>
      <c r="B2" s="20"/>
      <c r="F2" s="33"/>
      <c r="G2" s="33"/>
    </row>
    <row r="3" spans="1:11" x14ac:dyDescent="0.25">
      <c r="A3" s="18" t="s">
        <v>0</v>
      </c>
      <c r="B3" s="124" t="s">
        <v>1</v>
      </c>
    </row>
    <row r="4" spans="1:11" x14ac:dyDescent="0.25">
      <c r="A4" s="18" t="s">
        <v>69</v>
      </c>
      <c r="B4" s="124">
        <f>100</f>
        <v>100</v>
      </c>
    </row>
    <row r="5" spans="1:11" x14ac:dyDescent="0.25">
      <c r="A5" s="18" t="s">
        <v>70</v>
      </c>
      <c r="B5" s="124">
        <f>0.01</f>
        <v>0.01</v>
      </c>
    </row>
    <row r="6" spans="1:11" x14ac:dyDescent="0.25">
      <c r="A6" s="18" t="s">
        <v>2</v>
      </c>
      <c r="B6" s="124">
        <v>7</v>
      </c>
      <c r="D6" s="116" t="s">
        <v>95</v>
      </c>
      <c r="E6" s="116"/>
      <c r="F6" s="116"/>
    </row>
    <row r="7" spans="1:11" x14ac:dyDescent="0.25">
      <c r="A7" s="14" t="s">
        <v>3</v>
      </c>
      <c r="B7" s="9">
        <f>10^B6</f>
        <v>10000000</v>
      </c>
      <c r="D7" s="117" t="s">
        <v>131</v>
      </c>
      <c r="E7" s="117"/>
      <c r="F7" s="117"/>
    </row>
    <row r="8" spans="1:11" x14ac:dyDescent="0.25">
      <c r="A8" s="18" t="s">
        <v>50</v>
      </c>
      <c r="B8" s="124">
        <v>1</v>
      </c>
    </row>
    <row r="9" spans="1:11" x14ac:dyDescent="0.25">
      <c r="A9" s="18" t="s">
        <v>71</v>
      </c>
      <c r="B9" s="124">
        <v>15</v>
      </c>
    </row>
    <row r="10" spans="1:11" x14ac:dyDescent="0.25">
      <c r="A10" s="18" t="s">
        <v>72</v>
      </c>
      <c r="B10" s="124">
        <v>8</v>
      </c>
    </row>
    <row r="11" spans="1:11" x14ac:dyDescent="0.25">
      <c r="A11" s="18" t="s">
        <v>63</v>
      </c>
      <c r="B11" s="124">
        <v>1</v>
      </c>
    </row>
    <row r="12" spans="1:11" ht="15.75" thickBot="1" x14ac:dyDescent="0.3">
      <c r="A12" s="8" t="s">
        <v>62</v>
      </c>
      <c r="B12" s="15">
        <f>B11/B4</f>
        <v>0.01</v>
      </c>
    </row>
    <row r="13" spans="1:11" x14ac:dyDescent="0.25">
      <c r="A13" s="18" t="s">
        <v>73</v>
      </c>
      <c r="B13" s="124">
        <v>0.04</v>
      </c>
      <c r="D13" s="13" t="s">
        <v>65</v>
      </c>
      <c r="E13" s="6"/>
      <c r="F13" s="6"/>
      <c r="G13" s="7"/>
    </row>
    <row r="14" spans="1:11" x14ac:dyDescent="0.25">
      <c r="A14" s="14" t="s">
        <v>74</v>
      </c>
      <c r="B14" s="15">
        <f>0.35*B13*B7</f>
        <v>140000</v>
      </c>
      <c r="C14" s="5"/>
      <c r="D14" s="18" t="s">
        <v>175</v>
      </c>
      <c r="E14" s="19"/>
      <c r="F14" s="19"/>
      <c r="G14" s="124">
        <v>0</v>
      </c>
    </row>
    <row r="15" spans="1:11" x14ac:dyDescent="0.25">
      <c r="A15" s="18" t="s">
        <v>75</v>
      </c>
      <c r="B15" s="124">
        <v>2</v>
      </c>
      <c r="C15" s="5"/>
      <c r="D15" s="8" t="s">
        <v>68</v>
      </c>
      <c r="E15" s="5"/>
      <c r="F15" s="5"/>
      <c r="G15" s="9" t="e">
        <f>0.693/G14</f>
        <v>#DIV/0!</v>
      </c>
    </row>
    <row r="16" spans="1:11" x14ac:dyDescent="0.25">
      <c r="A16" s="14" t="s">
        <v>130</v>
      </c>
      <c r="B16" s="9">
        <f>B18*B14</f>
        <v>140000</v>
      </c>
      <c r="C16" s="5"/>
      <c r="D16" s="18" t="s">
        <v>67</v>
      </c>
      <c r="E16" s="19"/>
      <c r="F16" s="19"/>
      <c r="G16" s="124">
        <v>2.5000000000000001E-3</v>
      </c>
    </row>
    <row r="17" spans="1:9" ht="15.75" thickBot="1" x14ac:dyDescent="0.3">
      <c r="A17" s="14" t="s">
        <v>64</v>
      </c>
      <c r="B17" s="9">
        <f>B16/B4/B15</f>
        <v>700</v>
      </c>
      <c r="C17" s="5"/>
      <c r="D17" s="10" t="s">
        <v>66</v>
      </c>
      <c r="E17" s="11"/>
      <c r="F17" s="11"/>
      <c r="G17" s="12">
        <f>0.693/G16</f>
        <v>277.2</v>
      </c>
    </row>
    <row r="18" spans="1:9" x14ac:dyDescent="0.25">
      <c r="A18" s="14" t="s">
        <v>76</v>
      </c>
      <c r="B18" s="9">
        <f>B11*B8</f>
        <v>1</v>
      </c>
      <c r="C18" s="5"/>
      <c r="D18" s="5"/>
      <c r="E18" s="5"/>
      <c r="F18" s="5"/>
    </row>
    <row r="19" spans="1:9" x14ac:dyDescent="0.25">
      <c r="A19" s="14" t="s">
        <v>77</v>
      </c>
      <c r="B19" s="15">
        <f>B18/B4</f>
        <v>0.01</v>
      </c>
      <c r="C19" s="5"/>
      <c r="D19" s="5"/>
      <c r="E19" s="5"/>
      <c r="F19" s="5"/>
    </row>
    <row r="20" spans="1:9" x14ac:dyDescent="0.25">
      <c r="A20" s="28" t="s">
        <v>78</v>
      </c>
      <c r="B20" s="32">
        <f>B11/(B4*B5)</f>
        <v>1</v>
      </c>
    </row>
    <row r="21" spans="1:9" x14ac:dyDescent="0.25">
      <c r="A21" s="28" t="s">
        <v>79</v>
      </c>
      <c r="B21" s="32">
        <f>B18/(B4*B5)</f>
        <v>1</v>
      </c>
    </row>
    <row r="22" spans="1:9" ht="15.75" thickBot="1" x14ac:dyDescent="0.3">
      <c r="A22" s="74" t="s">
        <v>155</v>
      </c>
      <c r="B22" s="125">
        <v>1.5</v>
      </c>
    </row>
    <row r="23" spans="1:9" ht="15.75" thickBot="1" x14ac:dyDescent="0.3">
      <c r="A23" s="4"/>
      <c r="B23" s="4"/>
    </row>
    <row r="24" spans="1:9" x14ac:dyDescent="0.25">
      <c r="A24" s="13" t="s">
        <v>12</v>
      </c>
      <c r="B24" s="6"/>
      <c r="C24" s="6"/>
      <c r="D24" s="6"/>
      <c r="E24" s="6"/>
      <c r="F24" s="6"/>
      <c r="G24" s="6"/>
      <c r="H24" s="6"/>
      <c r="I24" s="7"/>
    </row>
    <row r="25" spans="1:9" x14ac:dyDescent="0.25">
      <c r="A25" s="18" t="s">
        <v>11</v>
      </c>
      <c r="B25" s="126" t="s">
        <v>138</v>
      </c>
      <c r="C25" s="126" t="s">
        <v>108</v>
      </c>
      <c r="D25" s="126" t="s">
        <v>109</v>
      </c>
      <c r="E25" s="126" t="s">
        <v>110</v>
      </c>
      <c r="F25" s="126" t="s">
        <v>113</v>
      </c>
      <c r="G25" s="126" t="s">
        <v>135</v>
      </c>
      <c r="H25" s="126" t="s">
        <v>111</v>
      </c>
      <c r="I25" s="127" t="s">
        <v>112</v>
      </c>
    </row>
    <row r="26" spans="1:9" x14ac:dyDescent="0.25">
      <c r="A26" s="8" t="s">
        <v>10</v>
      </c>
      <c r="B26" s="129">
        <v>0</v>
      </c>
      <c r="C26" s="129">
        <v>1</v>
      </c>
      <c r="D26" s="129">
        <v>2</v>
      </c>
      <c r="E26" s="129">
        <v>3</v>
      </c>
      <c r="F26" s="129">
        <v>4</v>
      </c>
      <c r="G26" s="129">
        <v>5</v>
      </c>
      <c r="H26" s="129">
        <v>6</v>
      </c>
      <c r="I26" s="139">
        <v>7</v>
      </c>
    </row>
    <row r="27" spans="1:9" x14ac:dyDescent="0.25">
      <c r="A27" s="18" t="s">
        <v>80</v>
      </c>
      <c r="B27" s="128">
        <v>0.05</v>
      </c>
      <c r="C27" s="128">
        <v>0.05</v>
      </c>
      <c r="D27" s="128">
        <v>0.05</v>
      </c>
      <c r="E27" s="128">
        <v>0.05</v>
      </c>
      <c r="F27" s="128">
        <v>0.05</v>
      </c>
      <c r="G27" s="128">
        <v>0.05</v>
      </c>
      <c r="H27" s="128">
        <v>0.05</v>
      </c>
      <c r="I27" s="124">
        <v>0.05</v>
      </c>
    </row>
    <row r="28" spans="1:9" x14ac:dyDescent="0.25">
      <c r="A28" s="28" t="s">
        <v>4</v>
      </c>
      <c r="B28" s="27">
        <f t="shared" ref="B28:I28" si="0">$B5*B27*$B7</f>
        <v>5000</v>
      </c>
      <c r="C28" s="27">
        <f t="shared" si="0"/>
        <v>5000</v>
      </c>
      <c r="D28" s="27">
        <f t="shared" si="0"/>
        <v>5000</v>
      </c>
      <c r="E28" s="27">
        <f t="shared" si="0"/>
        <v>5000</v>
      </c>
      <c r="F28" s="27">
        <f t="shared" si="0"/>
        <v>5000</v>
      </c>
      <c r="G28" s="27">
        <f t="shared" si="0"/>
        <v>5000</v>
      </c>
      <c r="H28" s="27">
        <f t="shared" si="0"/>
        <v>5000</v>
      </c>
      <c r="I28" s="32">
        <f t="shared" si="0"/>
        <v>5000</v>
      </c>
    </row>
    <row r="29" spans="1:9" x14ac:dyDescent="0.25">
      <c r="A29" s="18" t="s">
        <v>81</v>
      </c>
      <c r="B29" s="138"/>
      <c r="C29" s="138"/>
      <c r="D29" s="130">
        <f>0.0000000785*1000</f>
        <v>7.8499999999999997E-5</v>
      </c>
      <c r="E29" s="130">
        <f>0.0000656*1000</f>
        <v>6.5599999999999992E-2</v>
      </c>
      <c r="F29" s="131">
        <f>0.0000105*1000</f>
        <v>1.0499999999999999E-2</v>
      </c>
      <c r="G29" s="128">
        <f>0.00423*1000</f>
        <v>4.2300000000000004</v>
      </c>
      <c r="H29" s="128">
        <f>0.0107*1000</f>
        <v>10.7</v>
      </c>
      <c r="I29" s="124">
        <f>2.99*1000</f>
        <v>2990</v>
      </c>
    </row>
    <row r="30" spans="1:9" x14ac:dyDescent="0.25">
      <c r="A30" s="18" t="s">
        <v>29</v>
      </c>
      <c r="B30" s="138"/>
      <c r="C30" s="138"/>
      <c r="D30" s="128">
        <v>7</v>
      </c>
      <c r="E30" s="128">
        <v>7</v>
      </c>
      <c r="F30" s="128">
        <v>7</v>
      </c>
      <c r="G30" s="128">
        <v>7</v>
      </c>
      <c r="H30" s="128">
        <v>7</v>
      </c>
      <c r="I30" s="124">
        <v>7</v>
      </c>
    </row>
    <row r="31" spans="1:9" x14ac:dyDescent="0.25">
      <c r="A31" s="8" t="s">
        <v>209</v>
      </c>
      <c r="B31" s="3"/>
      <c r="C31" s="5"/>
      <c r="D31" s="5">
        <f t="shared" ref="D31:I31" si="1">1/(1.85+155/$B$7)</f>
        <v>0.54053601172530719</v>
      </c>
      <c r="E31" s="5">
        <f t="shared" si="1"/>
        <v>0.54053601172530719</v>
      </c>
      <c r="F31" s="5">
        <f t="shared" si="1"/>
        <v>0.54053601172530719</v>
      </c>
      <c r="G31" s="5">
        <f t="shared" si="1"/>
        <v>0.54053601172530719</v>
      </c>
      <c r="H31" s="5">
        <f t="shared" si="1"/>
        <v>0.54053601172530719</v>
      </c>
      <c r="I31" s="9">
        <f t="shared" si="1"/>
        <v>0.54053601172530719</v>
      </c>
    </row>
    <row r="32" spans="1:9" x14ac:dyDescent="0.25">
      <c r="A32" s="8" t="s">
        <v>213</v>
      </c>
      <c r="B32" s="60"/>
      <c r="C32" s="5"/>
      <c r="D32" s="5">
        <f>1/(2.3+0.00000005*$B$7)</f>
        <v>0.35714285714285715</v>
      </c>
      <c r="E32" s="5">
        <f t="shared" ref="E32:I32" si="2">1/(2.3+0.00000005*$B$7)</f>
        <v>0.35714285714285715</v>
      </c>
      <c r="F32" s="5">
        <f t="shared" si="2"/>
        <v>0.35714285714285715</v>
      </c>
      <c r="G32" s="5">
        <f t="shared" si="2"/>
        <v>0.35714285714285715</v>
      </c>
      <c r="H32" s="5">
        <f t="shared" si="2"/>
        <v>0.35714285714285715</v>
      </c>
      <c r="I32" s="5">
        <f t="shared" si="2"/>
        <v>0.35714285714285715</v>
      </c>
    </row>
    <row r="33" spans="1:9" x14ac:dyDescent="0.25">
      <c r="A33" s="8" t="s">
        <v>82</v>
      </c>
      <c r="B33" s="5"/>
      <c r="C33" s="5"/>
      <c r="D33" s="5">
        <f>1400*(D29/1000)^0.65/$B$10</f>
        <v>4.2140853327665342E-3</v>
      </c>
      <c r="E33" s="5">
        <f>1400*(E29/1000)^0.65/$B$10</f>
        <v>0.33421469724777697</v>
      </c>
      <c r="F33" s="5">
        <f t="shared" ref="F33:H33" si="3">1400*(F29/1000)^0.65/$B$10</f>
        <v>0.10158067469782314</v>
      </c>
      <c r="G33" s="5">
        <f t="shared" si="3"/>
        <v>5.0137108927562224</v>
      </c>
      <c r="H33" s="5">
        <f t="shared" si="3"/>
        <v>9.1651062527298457</v>
      </c>
      <c r="I33" s="9">
        <f t="shared" ref="I33" si="4">1400*(I29/1000)^0.65/$B$10</f>
        <v>356.63529455770475</v>
      </c>
    </row>
    <row r="34" spans="1:9" x14ac:dyDescent="0.25">
      <c r="A34" s="8" t="s">
        <v>207</v>
      </c>
      <c r="B34" s="60"/>
      <c r="C34" s="5"/>
      <c r="D34" s="106">
        <f>(0.00092*(D29/1000)^0.85*EXP(0.06*$B$9))*24</f>
        <v>4.9602470900817919E-8</v>
      </c>
      <c r="E34" s="106">
        <f t="shared" ref="E34:I34" si="5">(0.00092*(E29/1000)^0.85*EXP(0.06*$B$9))*24</f>
        <v>1.5108883282235715E-5</v>
      </c>
      <c r="F34" s="106">
        <f t="shared" si="5"/>
        <v>3.1832812190464625E-6</v>
      </c>
      <c r="G34" s="106">
        <f t="shared" si="5"/>
        <v>5.2149892201620678E-4</v>
      </c>
      <c r="H34" s="106">
        <f t="shared" si="5"/>
        <v>1.1477315332809686E-3</v>
      </c>
      <c r="I34" s="98">
        <f t="shared" si="5"/>
        <v>0.13777950268895456</v>
      </c>
    </row>
    <row r="35" spans="1:9" x14ac:dyDescent="0.25">
      <c r="A35" s="8"/>
      <c r="B35" s="5"/>
      <c r="C35" s="5"/>
      <c r="D35" s="5"/>
      <c r="E35" s="5"/>
      <c r="F35" s="5"/>
      <c r="G35" s="5"/>
      <c r="H35" s="5"/>
      <c r="I35" s="9"/>
    </row>
    <row r="36" spans="1:9" x14ac:dyDescent="0.25">
      <c r="A36" s="8" t="s">
        <v>83</v>
      </c>
      <c r="B36" s="5"/>
      <c r="C36" s="5"/>
      <c r="D36" s="5">
        <f>D31*D33*1000/D29</f>
        <v>29017.386991639953</v>
      </c>
      <c r="E36" s="5">
        <f>E31*E33*1000/E29</f>
        <v>2753.8884071691218</v>
      </c>
      <c r="F36" s="5">
        <f>F31*F33*1000/F29</f>
        <v>5229.3345494787754</v>
      </c>
      <c r="G36" s="5">
        <f>G31*G33*1000/G29</f>
        <v>640.68352007427359</v>
      </c>
      <c r="H36" s="5">
        <f>H31*H33*1000/H29</f>
        <v>462.99719447563234</v>
      </c>
      <c r="I36" s="9">
        <f t="shared" ref="I36" si="6">I31*I33*1000/I29</f>
        <v>64.472983197559159</v>
      </c>
    </row>
    <row r="37" spans="1:9" x14ac:dyDescent="0.25">
      <c r="A37" s="8" t="s">
        <v>84</v>
      </c>
      <c r="B37" s="5"/>
      <c r="C37" s="5"/>
      <c r="D37" s="106">
        <f>D32*D34*1000/D29</f>
        <v>0.22567093221482223</v>
      </c>
      <c r="E37" s="5">
        <f>E32*E34*1000/E29</f>
        <v>8.2256550970359957E-2</v>
      </c>
      <c r="F37" s="5">
        <f>F32*F34*1000/F29</f>
        <v>0.10827487139613819</v>
      </c>
      <c r="G37" s="5">
        <f>G32*G34*1000/G29</f>
        <v>4.4030641845339988E-2</v>
      </c>
      <c r="H37" s="5">
        <f>H32*H34*1000/H29</f>
        <v>3.8308796170926862E-2</v>
      </c>
      <c r="I37" s="9">
        <f t="shared" ref="I37" si="7">I32*I34*1000/I29</f>
        <v>1.6457179012058596E-2</v>
      </c>
    </row>
    <row r="38" spans="1:9" x14ac:dyDescent="0.25">
      <c r="A38" s="28" t="s">
        <v>85</v>
      </c>
      <c r="B38" s="27">
        <v>0</v>
      </c>
      <c r="C38" s="27">
        <f>C29*$B$5*C36</f>
        <v>0</v>
      </c>
      <c r="D38" s="63">
        <f>D29*$B$5*D36/10^6</f>
        <v>2.2778648788437364E-8</v>
      </c>
      <c r="E38" s="27">
        <f>E29*$B$5*E36/10^6</f>
        <v>1.8065507951029436E-6</v>
      </c>
      <c r="F38" s="27">
        <f>F29*$B$5*F36/10^6</f>
        <v>5.4908012769527141E-7</v>
      </c>
      <c r="G38" s="27">
        <f>G29*$B$5*G36/10^6</f>
        <v>2.7100912899141777E-5</v>
      </c>
      <c r="H38" s="27">
        <f>H29*$B$5*H36/10^6</f>
        <v>4.9540699808892662E-5</v>
      </c>
      <c r="I38" s="32">
        <f t="shared" ref="I38" si="8">I29*$B$5*I36/10^6</f>
        <v>1.9277421976070192E-3</v>
      </c>
    </row>
    <row r="39" spans="1:9" x14ac:dyDescent="0.25">
      <c r="A39" s="28" t="s">
        <v>86</v>
      </c>
      <c r="B39" s="27">
        <v>0</v>
      </c>
      <c r="C39" s="27">
        <f>0</f>
        <v>0</v>
      </c>
      <c r="D39" s="63">
        <f>D37*D28*D29/10^6</f>
        <v>8.8575840894317715E-8</v>
      </c>
      <c r="E39" s="27">
        <f>E37*E28*E29/10^6</f>
        <v>2.6980148718278062E-5</v>
      </c>
      <c r="F39" s="27">
        <f>F37*F28*F29/10^6</f>
        <v>5.684430748297253E-6</v>
      </c>
      <c r="G39" s="27">
        <f>G37*G28*G29/10^6</f>
        <v>9.3124807502894093E-4</v>
      </c>
      <c r="H39" s="27">
        <f>H37*H28*H29/10^6</f>
        <v>2.0495205951445868E-3</v>
      </c>
      <c r="I39" s="32">
        <f t="shared" ref="I39" si="9">I37*I28*I29/10^6</f>
        <v>0.24603482623027603</v>
      </c>
    </row>
    <row r="40" spans="1:9" x14ac:dyDescent="0.25">
      <c r="A40" s="8"/>
      <c r="B40" s="5"/>
      <c r="C40" s="5"/>
      <c r="D40" s="5"/>
      <c r="E40" s="5"/>
      <c r="F40" s="5"/>
      <c r="G40" s="5"/>
      <c r="H40" s="5"/>
      <c r="I40" s="9"/>
    </row>
    <row r="41" spans="1:9" x14ac:dyDescent="0.25">
      <c r="A41" s="8" t="s">
        <v>87</v>
      </c>
      <c r="B41" s="5"/>
      <c r="C41" s="5"/>
      <c r="D41" s="5">
        <f>$G$14</f>
        <v>0</v>
      </c>
      <c r="E41" s="5">
        <f t="shared" ref="E41:I41" si="10">$G$14</f>
        <v>0</v>
      </c>
      <c r="F41" s="5">
        <f t="shared" si="10"/>
        <v>0</v>
      </c>
      <c r="G41" s="5">
        <f t="shared" si="10"/>
        <v>0</v>
      </c>
      <c r="H41" s="5">
        <f t="shared" si="10"/>
        <v>0</v>
      </c>
      <c r="I41" s="9">
        <f t="shared" si="10"/>
        <v>0</v>
      </c>
    </row>
    <row r="42" spans="1:9" x14ac:dyDescent="0.25">
      <c r="A42" s="8" t="s">
        <v>208</v>
      </c>
      <c r="B42" s="60"/>
      <c r="C42" s="5"/>
      <c r="D42" s="106">
        <f>0.00586*(1.113^($B$9-20))*D29^-0.2</f>
        <v>2.2722068407168665E-2</v>
      </c>
      <c r="E42" s="106">
        <f t="shared" ref="E42:I42" si="11">0.00586*(1.113^($B$9-20))*E29^-0.2</f>
        <v>5.9161751983067244E-3</v>
      </c>
      <c r="F42" s="106">
        <f t="shared" si="11"/>
        <v>8.5346149968754254E-3</v>
      </c>
      <c r="G42" s="106">
        <f t="shared" si="11"/>
        <v>2.5713057492260712E-3</v>
      </c>
      <c r="H42" s="106">
        <f t="shared" si="11"/>
        <v>2.1357235612417952E-3</v>
      </c>
      <c r="I42" s="98">
        <f t="shared" si="11"/>
        <v>6.9228920030330043E-4</v>
      </c>
    </row>
    <row r="43" spans="1:9" x14ac:dyDescent="0.25">
      <c r="A43" s="8" t="s">
        <v>88</v>
      </c>
      <c r="B43" s="5">
        <v>0</v>
      </c>
      <c r="C43" s="5">
        <f t="shared" ref="C43:I43" si="12">C$36/(C27*$B$7)</f>
        <v>0</v>
      </c>
      <c r="D43" s="5">
        <f t="shared" si="12"/>
        <v>5.8034773983279907E-2</v>
      </c>
      <c r="E43" s="5">
        <f t="shared" si="12"/>
        <v>5.5077768143382434E-3</v>
      </c>
      <c r="F43" s="5">
        <f t="shared" si="12"/>
        <v>1.0458669098957551E-2</v>
      </c>
      <c r="G43" s="5">
        <f t="shared" si="12"/>
        <v>1.2813670401485471E-3</v>
      </c>
      <c r="H43" s="5">
        <f t="shared" si="12"/>
        <v>9.2599438895126472E-4</v>
      </c>
      <c r="I43" s="9">
        <f t="shared" si="12"/>
        <v>1.2894596639511833E-4</v>
      </c>
    </row>
    <row r="44" spans="1:9" x14ac:dyDescent="0.25">
      <c r="A44" s="8" t="s">
        <v>89</v>
      </c>
      <c r="B44" s="5"/>
      <c r="C44" s="5"/>
      <c r="D44" s="5">
        <f t="shared" ref="D44:H44" si="13">D37/D30</f>
        <v>3.223870460211746E-2</v>
      </c>
      <c r="E44" s="5">
        <f t="shared" si="13"/>
        <v>1.1750935852908566E-2</v>
      </c>
      <c r="F44" s="5">
        <f t="shared" si="13"/>
        <v>1.5467838770876884E-2</v>
      </c>
      <c r="G44" s="5">
        <f t="shared" si="13"/>
        <v>6.2900916921914268E-3</v>
      </c>
      <c r="H44" s="5">
        <f t="shared" si="13"/>
        <v>5.4726851672752663E-3</v>
      </c>
      <c r="I44" s="9">
        <f t="shared" ref="I44" si="14">I37/I30</f>
        <v>2.3510255731512279E-3</v>
      </c>
    </row>
    <row r="45" spans="1:9" x14ac:dyDescent="0.25">
      <c r="A45" s="8" t="s">
        <v>90</v>
      </c>
      <c r="B45" s="5"/>
      <c r="C45" s="5"/>
      <c r="D45" s="5">
        <f t="shared" ref="D45:H45" si="15">D41+D42+D43+D44</f>
        <v>0.11299554699256603</v>
      </c>
      <c r="E45" s="5">
        <f t="shared" si="15"/>
        <v>2.3174887865553533E-2</v>
      </c>
      <c r="F45" s="5">
        <f t="shared" si="15"/>
        <v>3.446112286670986E-2</v>
      </c>
      <c r="G45" s="5">
        <f t="shared" si="15"/>
        <v>1.0142764481566046E-2</v>
      </c>
      <c r="H45" s="5">
        <f t="shared" si="15"/>
        <v>8.5344031174683262E-3</v>
      </c>
      <c r="I45" s="9">
        <f t="shared" ref="I45" si="16">I41+I42+I43+I44</f>
        <v>3.1722607398496465E-3</v>
      </c>
    </row>
    <row r="46" spans="1:9" x14ac:dyDescent="0.25">
      <c r="A46" s="8" t="s">
        <v>68</v>
      </c>
      <c r="B46" s="5"/>
      <c r="C46" s="5"/>
      <c r="D46" s="5">
        <f>0.693/D45</f>
        <v>6.1329850462655164</v>
      </c>
      <c r="E46" s="5">
        <f>0.693/E45</f>
        <v>29.903057310152281</v>
      </c>
      <c r="F46" s="5">
        <f t="shared" ref="F46:H46" si="17">0.693/F45</f>
        <v>20.109617515378524</v>
      </c>
      <c r="G46" s="5">
        <f t="shared" si="17"/>
        <v>68.324567849277372</v>
      </c>
      <c r="H46" s="5">
        <f t="shared" si="17"/>
        <v>81.200757740346091</v>
      </c>
      <c r="I46" s="9">
        <f t="shared" ref="I46" si="18">0.693/I45</f>
        <v>218.45619160323045</v>
      </c>
    </row>
    <row r="47" spans="1:9" x14ac:dyDescent="0.25">
      <c r="A47" s="28" t="s">
        <v>13</v>
      </c>
      <c r="B47" s="27">
        <v>0</v>
      </c>
      <c r="C47" s="27">
        <f>C29*C28*C41</f>
        <v>0</v>
      </c>
      <c r="D47" s="64">
        <f>D29*D28*D41/10^6</f>
        <v>0</v>
      </c>
      <c r="E47" s="27">
        <f>E29*E28*E41/10^6</f>
        <v>0</v>
      </c>
      <c r="F47" s="27">
        <f>F29*F28*F41/10^6</f>
        <v>0</v>
      </c>
      <c r="G47" s="27">
        <f>G29*G28*G41/10^6</f>
        <v>0</v>
      </c>
      <c r="H47" s="27">
        <f>H29*H28*H41/10^6</f>
        <v>0</v>
      </c>
      <c r="I47" s="32">
        <f t="shared" ref="I47" si="19">I29*I28*I41/10^6</f>
        <v>0</v>
      </c>
    </row>
    <row r="48" spans="1:9" x14ac:dyDescent="0.25">
      <c r="A48" s="28" t="s">
        <v>91</v>
      </c>
      <c r="B48" s="27">
        <v>0</v>
      </c>
      <c r="C48" s="27">
        <f>C29*C28*C42</f>
        <v>0</v>
      </c>
      <c r="D48" s="63">
        <f>D29*D28*D42/10^6</f>
        <v>8.9184118498136997E-9</v>
      </c>
      <c r="E48" s="27">
        <f>E29*E28*E42/10^6</f>
        <v>1.9405054650446053E-6</v>
      </c>
      <c r="F48" s="27">
        <f>F29*F28*F42/10^6</f>
        <v>4.4806728733595981E-7</v>
      </c>
      <c r="G48" s="27">
        <f>G29*G28*G42/10^6</f>
        <v>5.4383116596131415E-5</v>
      </c>
      <c r="H48" s="27">
        <f>H29*H28*H42/10^6</f>
        <v>1.1426121052643604E-4</v>
      </c>
      <c r="I48" s="32">
        <f t="shared" ref="I48" si="20">I29*I28*I42/10^6</f>
        <v>1.0349723544534341E-2</v>
      </c>
    </row>
    <row r="49" spans="1:10" x14ac:dyDescent="0.25">
      <c r="A49" s="28" t="s">
        <v>92</v>
      </c>
      <c r="B49" s="27">
        <v>0</v>
      </c>
      <c r="C49" s="27">
        <f>C29*C28*C43</f>
        <v>0</v>
      </c>
      <c r="D49" s="63">
        <f>D29*D28*D43/10^6</f>
        <v>2.2778648788437364E-8</v>
      </c>
      <c r="E49" s="27">
        <f>E29*E28*E43/10^6</f>
        <v>1.8065507951029436E-6</v>
      </c>
      <c r="F49" s="27">
        <f>F29*F28*F43/10^6</f>
        <v>5.4908012769527141E-7</v>
      </c>
      <c r="G49" s="27">
        <f>G29*G28*G43/10^6</f>
        <v>2.7100912899141777E-5</v>
      </c>
      <c r="H49" s="27">
        <f>H29*H28*H43/10^6</f>
        <v>4.9540699808892662E-5</v>
      </c>
      <c r="I49" s="32">
        <f t="shared" ref="I49" si="21">I29*I28*I43/10^6</f>
        <v>1.9277421976070192E-3</v>
      </c>
    </row>
    <row r="50" spans="1:10" x14ac:dyDescent="0.25">
      <c r="A50" s="28" t="s">
        <v>93</v>
      </c>
      <c r="B50" s="27">
        <v>0</v>
      </c>
      <c r="C50" s="27">
        <f>C29*C28*C44</f>
        <v>0</v>
      </c>
      <c r="D50" s="63">
        <f>D29*D28*D44/10^6</f>
        <v>1.2653691556331102E-8</v>
      </c>
      <c r="E50" s="27">
        <f>E29*E28*E44/10^6</f>
        <v>3.8543069597540093E-6</v>
      </c>
      <c r="F50" s="27">
        <f>F29*F28*F44/10^6</f>
        <v>8.1206153547103634E-7</v>
      </c>
      <c r="G50" s="27">
        <f>G29*G28*G44/10^6</f>
        <v>1.3303543928984871E-4</v>
      </c>
      <c r="H50" s="27">
        <f>H29*H28*H44/10^6</f>
        <v>2.9278865644922673E-4</v>
      </c>
      <c r="I50" s="32">
        <f t="shared" ref="I50" si="22">I29*I28*I44/10^6</f>
        <v>3.5147832318610864E-2</v>
      </c>
    </row>
    <row r="51" spans="1:10" x14ac:dyDescent="0.25">
      <c r="A51" s="28" t="s">
        <v>94</v>
      </c>
      <c r="B51" s="27">
        <v>0</v>
      </c>
      <c r="C51" s="27">
        <f>C29*C28*C45</f>
        <v>0</v>
      </c>
      <c r="D51" s="63">
        <f>D29*D28*D45/10^6</f>
        <v>4.4350752194582161E-8</v>
      </c>
      <c r="E51" s="27">
        <f>E29*E28*E45/10^6</f>
        <v>7.6013632199015576E-6</v>
      </c>
      <c r="F51" s="27">
        <f>F29*F28*F45/10^6</f>
        <v>1.8092089505022675E-6</v>
      </c>
      <c r="G51" s="27">
        <f>G29*G28*G45/10^6</f>
        <v>2.1451946878512192E-4</v>
      </c>
      <c r="H51" s="27">
        <f>H29*H28*H45/10^6</f>
        <v>4.5659056678455542E-4</v>
      </c>
      <c r="I51" s="32">
        <f t="shared" ref="I51" si="23">I29*I28*I45/10^6</f>
        <v>4.742529806075222E-2</v>
      </c>
    </row>
    <row r="52" spans="1:10" ht="15.75" thickBot="1" x14ac:dyDescent="0.3">
      <c r="A52" s="10" t="s">
        <v>5</v>
      </c>
      <c r="B52" s="11">
        <f>B27*B7</f>
        <v>500000</v>
      </c>
      <c r="C52" s="11">
        <f t="shared" ref="C52:H52" si="24">C27*$B$7</f>
        <v>500000</v>
      </c>
      <c r="D52" s="11">
        <f t="shared" si="24"/>
        <v>500000</v>
      </c>
      <c r="E52" s="11">
        <f t="shared" si="24"/>
        <v>500000</v>
      </c>
      <c r="F52" s="11">
        <f t="shared" si="24"/>
        <v>500000</v>
      </c>
      <c r="G52" s="11">
        <f t="shared" si="24"/>
        <v>500000</v>
      </c>
      <c r="H52" s="11">
        <f t="shared" si="24"/>
        <v>500000</v>
      </c>
      <c r="I52" s="12">
        <f t="shared" ref="I52" si="25">I27*$B$7</f>
        <v>500000</v>
      </c>
    </row>
    <row r="53" spans="1:10" ht="15.75" thickBot="1" x14ac:dyDescent="0.3"/>
    <row r="54" spans="1:10" x14ac:dyDescent="0.25">
      <c r="A54" s="21" t="str">
        <f>B25</f>
        <v>Detritus (foc)</v>
      </c>
      <c r="B54" s="89" t="s">
        <v>161</v>
      </c>
      <c r="C54" s="90">
        <f>B26</f>
        <v>0</v>
      </c>
      <c r="D54" s="7"/>
    </row>
    <row r="55" spans="1:10" x14ac:dyDescent="0.25">
      <c r="A55" s="22" t="s">
        <v>188</v>
      </c>
      <c r="B55" s="5">
        <f>B52*B18</f>
        <v>500000</v>
      </c>
      <c r="C55" s="5"/>
      <c r="D55" s="9"/>
    </row>
    <row r="56" spans="1:10" x14ac:dyDescent="0.25">
      <c r="A56" s="24" t="s">
        <v>189</v>
      </c>
      <c r="B56" s="5">
        <f>B55/B27</f>
        <v>10000000</v>
      </c>
      <c r="C56" s="23" t="s">
        <v>96</v>
      </c>
      <c r="D56" s="15">
        <f>B22</f>
        <v>1.5</v>
      </c>
    </row>
    <row r="57" spans="1:10" x14ac:dyDescent="0.25">
      <c r="A57" s="24" t="s">
        <v>190</v>
      </c>
      <c r="B57" s="5">
        <f>B55/B4</f>
        <v>5000</v>
      </c>
      <c r="C57" s="5"/>
      <c r="D57" s="15"/>
    </row>
    <row r="58" spans="1:10" ht="15.75" thickBot="1" x14ac:dyDescent="0.3">
      <c r="A58" s="25" t="s">
        <v>142</v>
      </c>
      <c r="B58" s="26">
        <f>B57/B28</f>
        <v>1</v>
      </c>
      <c r="C58" s="11"/>
      <c r="D58" s="12"/>
    </row>
    <row r="59" spans="1:10" x14ac:dyDescent="0.25">
      <c r="A59" s="21" t="str">
        <f>C25</f>
        <v>Phytoplankton</v>
      </c>
      <c r="B59" s="89" t="s">
        <v>161</v>
      </c>
      <c r="C59" s="90">
        <f>C26</f>
        <v>1</v>
      </c>
      <c r="D59" s="7"/>
    </row>
    <row r="60" spans="1:10" x14ac:dyDescent="0.25">
      <c r="A60" s="22" t="s">
        <v>162</v>
      </c>
      <c r="B60" s="5">
        <f>B11*C52</f>
        <v>500000</v>
      </c>
      <c r="C60" s="5"/>
      <c r="D60" s="9"/>
      <c r="E60" s="1"/>
    </row>
    <row r="61" spans="1:10" x14ac:dyDescent="0.25">
      <c r="A61" s="24" t="s">
        <v>18</v>
      </c>
      <c r="B61" s="5">
        <f>B60/C27</f>
        <v>10000000</v>
      </c>
      <c r="C61" s="19" t="s">
        <v>96</v>
      </c>
      <c r="D61" s="124">
        <f>1</f>
        <v>1</v>
      </c>
      <c r="E61" s="1"/>
    </row>
    <row r="62" spans="1:10" x14ac:dyDescent="0.25">
      <c r="A62" s="24" t="s">
        <v>20</v>
      </c>
      <c r="B62" s="5">
        <f>B60/B4</f>
        <v>5000</v>
      </c>
      <c r="C62" s="5"/>
      <c r="D62" s="15"/>
      <c r="E62" s="1"/>
      <c r="F62" s="1"/>
      <c r="G62" s="1"/>
      <c r="H62" s="1"/>
      <c r="I62" s="1"/>
      <c r="J62" s="1"/>
    </row>
    <row r="63" spans="1:10" ht="15.75" thickBot="1" x14ac:dyDescent="0.3">
      <c r="A63" s="25" t="s">
        <v>143</v>
      </c>
      <c r="B63" s="26">
        <f>B62/C28</f>
        <v>1</v>
      </c>
      <c r="C63" s="11"/>
      <c r="D63" s="12"/>
      <c r="E63" s="1"/>
      <c r="F63" s="1"/>
      <c r="G63" s="1"/>
      <c r="H63" s="1"/>
      <c r="I63" s="1"/>
      <c r="J63" s="1"/>
    </row>
    <row r="64" spans="1:10" x14ac:dyDescent="0.25">
      <c r="A64" s="21" t="str">
        <f>D25</f>
        <v>Zooplankton</v>
      </c>
      <c r="B64" s="89" t="s">
        <v>161</v>
      </c>
      <c r="C64" s="90">
        <f>D26</f>
        <v>2</v>
      </c>
      <c r="D64" s="7"/>
      <c r="E64" s="1"/>
      <c r="F64" s="1"/>
      <c r="G64" s="1"/>
      <c r="H64" s="1"/>
      <c r="I64" s="1"/>
      <c r="J64" s="1"/>
    </row>
    <row r="65" spans="1:10" x14ac:dyDescent="0.25">
      <c r="A65" s="24" t="s">
        <v>150</v>
      </c>
      <c r="B65" s="5">
        <f>D66*B55+D67*B60</f>
        <v>500000</v>
      </c>
      <c r="C65" s="5"/>
      <c r="D65" s="9"/>
      <c r="E65" s="1"/>
      <c r="F65" s="119"/>
      <c r="G65" s="1"/>
      <c r="H65" s="1"/>
      <c r="I65" s="1"/>
      <c r="J65" s="1"/>
    </row>
    <row r="66" spans="1:10" x14ac:dyDescent="0.25">
      <c r="A66" s="22" t="s">
        <v>163</v>
      </c>
      <c r="B66" s="5">
        <f>(B65*D37+D36*B11)/D45</f>
        <v>1255384.4542952084</v>
      </c>
      <c r="C66" s="19" t="s">
        <v>133</v>
      </c>
      <c r="D66" s="132">
        <v>0</v>
      </c>
      <c r="E66" s="1"/>
      <c r="F66" s="119"/>
      <c r="G66" s="1"/>
      <c r="H66" s="1"/>
      <c r="I66" s="119"/>
      <c r="J66" s="1"/>
    </row>
    <row r="67" spans="1:10" x14ac:dyDescent="0.25">
      <c r="A67" s="14" t="s">
        <v>21</v>
      </c>
      <c r="B67" s="5">
        <f>B66/D27</f>
        <v>25107689.085904166</v>
      </c>
      <c r="C67" s="19" t="s">
        <v>101</v>
      </c>
      <c r="D67" s="132">
        <v>1</v>
      </c>
      <c r="E67" s="1"/>
      <c r="F67" s="119"/>
      <c r="G67" s="1"/>
      <c r="H67" s="1"/>
      <c r="I67" s="119"/>
      <c r="J67" s="1"/>
    </row>
    <row r="68" spans="1:10" x14ac:dyDescent="0.25">
      <c r="A68" s="14" t="s">
        <v>22</v>
      </c>
      <c r="B68" s="5">
        <f>B66/B4</f>
        <v>12553.844542952085</v>
      </c>
      <c r="C68" s="23" t="s">
        <v>97</v>
      </c>
      <c r="D68" s="65">
        <f>(D66*D56+D67*D61)+1</f>
        <v>2</v>
      </c>
      <c r="E68" s="1"/>
      <c r="F68" s="119"/>
      <c r="G68" s="1"/>
      <c r="H68" s="1"/>
      <c r="I68" s="119"/>
      <c r="J68" s="1"/>
    </row>
    <row r="69" spans="1:10" x14ac:dyDescent="0.25">
      <c r="A69" s="28" t="s">
        <v>139</v>
      </c>
      <c r="B69" s="27">
        <f>B68/D28</f>
        <v>2.5107689085904172</v>
      </c>
      <c r="C69" s="5"/>
      <c r="D69" s="9"/>
      <c r="E69" s="1"/>
      <c r="F69" s="120"/>
      <c r="G69" s="1"/>
      <c r="H69" s="1"/>
      <c r="I69" s="120"/>
      <c r="J69" s="1"/>
    </row>
    <row r="70" spans="1:10" x14ac:dyDescent="0.25">
      <c r="A70" s="14" t="s">
        <v>149</v>
      </c>
      <c r="B70" s="23">
        <f>B66/B11</f>
        <v>1255384.4542952084</v>
      </c>
      <c r="C70" s="5"/>
      <c r="D70" s="9"/>
      <c r="E70" s="1"/>
      <c r="F70" s="1"/>
      <c r="G70" s="1"/>
      <c r="H70" s="1"/>
      <c r="I70" s="1"/>
      <c r="J70" s="1"/>
    </row>
    <row r="71" spans="1:10" x14ac:dyDescent="0.25">
      <c r="A71" s="14" t="s">
        <v>152</v>
      </c>
      <c r="B71" s="23">
        <f>B66/B60</f>
        <v>2.5107689085904168</v>
      </c>
      <c r="C71" s="5"/>
      <c r="D71" s="9"/>
      <c r="E71" s="1"/>
      <c r="F71" s="1"/>
      <c r="G71" s="1"/>
      <c r="H71" s="1"/>
      <c r="I71" s="1"/>
      <c r="J71" s="1"/>
    </row>
    <row r="72" spans="1:10" ht="15.75" thickBot="1" x14ac:dyDescent="0.3">
      <c r="A72" s="16" t="s">
        <v>151</v>
      </c>
      <c r="B72" s="43">
        <f>B67/B61</f>
        <v>2.5107689085904168</v>
      </c>
      <c r="C72" s="11"/>
      <c r="D72" s="12"/>
      <c r="E72" s="1"/>
      <c r="F72" s="1"/>
      <c r="G72" s="1"/>
      <c r="H72" s="99"/>
    </row>
    <row r="73" spans="1:10" x14ac:dyDescent="0.25">
      <c r="A73" s="21" t="str">
        <f>E25</f>
        <v>Mysis</v>
      </c>
      <c r="B73" s="89" t="s">
        <v>161</v>
      </c>
      <c r="C73" s="90">
        <f>E26</f>
        <v>3</v>
      </c>
      <c r="D73" s="7"/>
      <c r="E73" s="1"/>
      <c r="F73" s="1"/>
      <c r="G73" s="110"/>
      <c r="H73" s="111"/>
    </row>
    <row r="74" spans="1:10" x14ac:dyDescent="0.25">
      <c r="A74" s="8" t="s">
        <v>58</v>
      </c>
      <c r="B74" s="5">
        <f>+B55*D75+B60*D76+B66*D77</f>
        <v>1028769.1180066458</v>
      </c>
      <c r="C74" s="5"/>
      <c r="D74" s="9"/>
      <c r="E74" s="1"/>
      <c r="F74" s="1"/>
      <c r="G74" s="1"/>
      <c r="H74" s="99"/>
    </row>
    <row r="75" spans="1:10" x14ac:dyDescent="0.25">
      <c r="A75" s="22" t="s">
        <v>164</v>
      </c>
      <c r="B75" s="5">
        <f>(B11*E36+B74*E37)/E45</f>
        <v>3770326.2387340167</v>
      </c>
      <c r="C75" s="19" t="s">
        <v>133</v>
      </c>
      <c r="D75" s="132">
        <v>0.2</v>
      </c>
      <c r="E75" s="1"/>
      <c r="F75" s="1"/>
      <c r="G75" s="1"/>
    </row>
    <row r="76" spans="1:10" x14ac:dyDescent="0.25">
      <c r="A76" s="8" t="s">
        <v>14</v>
      </c>
      <c r="B76" s="5">
        <f>B75/E27</f>
        <v>75406524.774680331</v>
      </c>
      <c r="C76" s="19" t="s">
        <v>101</v>
      </c>
      <c r="D76" s="132">
        <v>0.1</v>
      </c>
      <c r="E76" s="1"/>
      <c r="F76" s="1"/>
      <c r="G76" s="1"/>
    </row>
    <row r="77" spans="1:10" x14ac:dyDescent="0.25">
      <c r="A77" s="28" t="s">
        <v>114</v>
      </c>
      <c r="B77" s="27">
        <f>B75/B4</f>
        <v>37703.262387340168</v>
      </c>
      <c r="C77" s="19" t="s">
        <v>102</v>
      </c>
      <c r="D77" s="132">
        <v>0.7</v>
      </c>
      <c r="E77" s="1"/>
      <c r="F77" s="1"/>
      <c r="G77" s="1"/>
    </row>
    <row r="78" spans="1:10" x14ac:dyDescent="0.25">
      <c r="A78" s="28" t="s">
        <v>140</v>
      </c>
      <c r="B78" s="27">
        <f>B77/E28</f>
        <v>7.5406524774680337</v>
      </c>
      <c r="C78" s="23" t="s">
        <v>98</v>
      </c>
      <c r="D78" s="65">
        <f>(D75*D56+D76*D61+D77*D68)+1</f>
        <v>2.8</v>
      </c>
      <c r="E78" s="1"/>
      <c r="F78" s="1"/>
      <c r="G78" s="1"/>
    </row>
    <row r="79" spans="1:10" x14ac:dyDescent="0.25">
      <c r="A79" s="8" t="s">
        <v>6</v>
      </c>
      <c r="B79" s="5">
        <f>B75/B11</f>
        <v>3770326.2387340167</v>
      </c>
      <c r="C79" s="5"/>
      <c r="D79" s="9"/>
      <c r="E79" s="1"/>
      <c r="F79" s="1"/>
      <c r="G79" s="1"/>
    </row>
    <row r="80" spans="1:10" x14ac:dyDescent="0.25">
      <c r="A80" s="8" t="s">
        <v>153</v>
      </c>
      <c r="B80" s="5">
        <f>B75/B65</f>
        <v>7.5406524774680337</v>
      </c>
      <c r="C80" s="5"/>
      <c r="D80" s="9"/>
      <c r="E80" s="1"/>
      <c r="F80" s="1"/>
      <c r="G80" s="1"/>
    </row>
    <row r="81" spans="1:7" ht="15.75" thickBot="1" x14ac:dyDescent="0.3">
      <c r="A81" s="37" t="s">
        <v>154</v>
      </c>
      <c r="B81" s="38">
        <f>B76/B67</f>
        <v>3.003323982413606</v>
      </c>
      <c r="C81" s="11"/>
      <c r="D81" s="12"/>
      <c r="E81" s="1"/>
      <c r="F81" s="1"/>
      <c r="G81" s="1"/>
    </row>
    <row r="82" spans="1:7" x14ac:dyDescent="0.25">
      <c r="A82" s="21" t="str">
        <f>F25</f>
        <v>Amphipod</v>
      </c>
      <c r="B82" s="89" t="s">
        <v>161</v>
      </c>
      <c r="C82" s="90">
        <f>F26</f>
        <v>4</v>
      </c>
      <c r="D82" s="7"/>
      <c r="E82" s="1"/>
      <c r="F82" s="1"/>
      <c r="G82" s="1"/>
    </row>
    <row r="83" spans="1:7" x14ac:dyDescent="0.25">
      <c r="A83" s="8" t="s">
        <v>61</v>
      </c>
      <c r="B83" s="5">
        <f>B55*D84+B60*D85+B65*D86+B75*D87</f>
        <v>500000</v>
      </c>
      <c r="C83" s="5"/>
      <c r="D83" s="9"/>
      <c r="E83" s="1"/>
      <c r="F83" s="1"/>
      <c r="G83" s="1"/>
    </row>
    <row r="84" spans="1:7" x14ac:dyDescent="0.25">
      <c r="A84" s="22" t="s">
        <v>165</v>
      </c>
      <c r="B84" s="5">
        <f>(B11*F36+B83*F37)/F45</f>
        <v>1722717.2334798577</v>
      </c>
      <c r="C84" s="19" t="s">
        <v>133</v>
      </c>
      <c r="D84" s="132">
        <v>0.99</v>
      </c>
      <c r="E84" s="1"/>
      <c r="F84" s="1"/>
      <c r="G84" s="1"/>
    </row>
    <row r="85" spans="1:7" x14ac:dyDescent="0.25">
      <c r="A85" s="8" t="s">
        <v>15</v>
      </c>
      <c r="B85" s="5">
        <f>B84/F27</f>
        <v>34454344.669597149</v>
      </c>
      <c r="C85" s="19" t="s">
        <v>101</v>
      </c>
      <c r="D85" s="132">
        <v>0.01</v>
      </c>
      <c r="E85" s="1"/>
      <c r="F85" s="1"/>
      <c r="G85" s="1"/>
    </row>
    <row r="86" spans="1:7" x14ac:dyDescent="0.25">
      <c r="A86" s="28" t="s">
        <v>115</v>
      </c>
      <c r="B86" s="27">
        <f>B84/B4</f>
        <v>17227.172334798575</v>
      </c>
      <c r="C86" s="19" t="s">
        <v>102</v>
      </c>
      <c r="D86" s="132">
        <v>0</v>
      </c>
      <c r="E86" s="1"/>
      <c r="F86" s="1"/>
      <c r="G86" s="1"/>
    </row>
    <row r="87" spans="1:7" x14ac:dyDescent="0.25">
      <c r="A87" s="28" t="s">
        <v>141</v>
      </c>
      <c r="B87" s="27">
        <f>B86/F28</f>
        <v>3.445434466959715</v>
      </c>
      <c r="C87" s="19" t="s">
        <v>103</v>
      </c>
      <c r="D87" s="132">
        <v>0</v>
      </c>
      <c r="E87" s="1"/>
      <c r="F87" s="1"/>
      <c r="G87" s="1"/>
    </row>
    <row r="88" spans="1:7" ht="15.75" x14ac:dyDescent="0.25">
      <c r="A88" s="8" t="s">
        <v>7</v>
      </c>
      <c r="B88" s="5">
        <f>B84/B11</f>
        <v>1722717.2334798577</v>
      </c>
      <c r="C88" s="23" t="s">
        <v>99</v>
      </c>
      <c r="D88" s="65">
        <f>(D84*D56+D85*D61+D86*D68+D87*D78)+1</f>
        <v>2.4950000000000001</v>
      </c>
      <c r="E88" s="1"/>
      <c r="F88" s="1"/>
      <c r="G88" s="2"/>
    </row>
    <row r="89" spans="1:7" x14ac:dyDescent="0.25">
      <c r="A89" s="8" t="s">
        <v>23</v>
      </c>
      <c r="B89" s="5">
        <f>B84/B75</f>
        <v>0.45691463401275961</v>
      </c>
      <c r="C89" s="5"/>
      <c r="D89" s="9"/>
      <c r="E89" s="1"/>
      <c r="F89" s="1"/>
      <c r="G89" s="1"/>
    </row>
    <row r="90" spans="1:7" ht="15.75" thickBot="1" x14ac:dyDescent="0.3">
      <c r="A90" s="37" t="s">
        <v>24</v>
      </c>
      <c r="B90" s="38">
        <f>B85/B76</f>
        <v>0.45691463401275956</v>
      </c>
      <c r="C90" s="11"/>
      <c r="D90" s="12"/>
      <c r="E90" s="1"/>
      <c r="F90" s="1"/>
      <c r="G90" s="1"/>
    </row>
    <row r="91" spans="1:7" x14ac:dyDescent="0.25">
      <c r="A91" s="21" t="str">
        <f>G25</f>
        <v>Sculpin</v>
      </c>
      <c r="B91" s="89" t="s">
        <v>161</v>
      </c>
      <c r="C91" s="90">
        <f>G26</f>
        <v>5</v>
      </c>
      <c r="D91" s="7"/>
      <c r="E91" s="1"/>
      <c r="F91" s="1"/>
      <c r="G91" s="1"/>
    </row>
    <row r="92" spans="1:7" x14ac:dyDescent="0.25">
      <c r="A92" s="8" t="s">
        <v>59</v>
      </c>
      <c r="B92" s="5">
        <f>B55*D93+B60*D94+B65*D95+B75*D96+B84*D97</f>
        <v>2112347.7614454115</v>
      </c>
      <c r="C92" s="5"/>
      <c r="D92" s="9"/>
      <c r="E92" s="1"/>
      <c r="F92" s="1"/>
      <c r="G92" s="1"/>
    </row>
    <row r="93" spans="1:7" x14ac:dyDescent="0.25">
      <c r="A93" s="22" t="s">
        <v>166</v>
      </c>
      <c r="B93" s="5">
        <f>(B11*G36+B92*G37)/G45</f>
        <v>9233055.8820807282</v>
      </c>
      <c r="C93" s="19" t="s">
        <v>133</v>
      </c>
      <c r="D93" s="132">
        <v>0.1</v>
      </c>
      <c r="E93" s="1"/>
      <c r="F93" s="1"/>
      <c r="G93" s="1"/>
    </row>
    <row r="94" spans="1:7" x14ac:dyDescent="0.25">
      <c r="A94" s="8" t="s">
        <v>16</v>
      </c>
      <c r="B94" s="5">
        <f>B93/G27</f>
        <v>184661117.64161456</v>
      </c>
      <c r="C94" s="19" t="s">
        <v>101</v>
      </c>
      <c r="D94" s="132">
        <v>0</v>
      </c>
      <c r="E94" s="1"/>
      <c r="F94" s="1"/>
      <c r="G94" s="1"/>
    </row>
    <row r="95" spans="1:7" x14ac:dyDescent="0.25">
      <c r="A95" s="28" t="s">
        <v>116</v>
      </c>
      <c r="B95" s="27">
        <f>B93/B4</f>
        <v>92330.558820807288</v>
      </c>
      <c r="C95" s="19" t="s">
        <v>102</v>
      </c>
      <c r="D95" s="132">
        <v>0</v>
      </c>
      <c r="E95" s="1"/>
      <c r="F95" s="1"/>
      <c r="G95" s="1"/>
    </row>
    <row r="96" spans="1:7" x14ac:dyDescent="0.25">
      <c r="A96" s="28" t="s">
        <v>144</v>
      </c>
      <c r="B96" s="27">
        <f>B95/G28</f>
        <v>18.466111764161457</v>
      </c>
      <c r="C96" s="19" t="s">
        <v>103</v>
      </c>
      <c r="D96" s="132">
        <v>0.25</v>
      </c>
      <c r="E96" s="1"/>
      <c r="F96" s="1"/>
      <c r="G96" s="1"/>
    </row>
    <row r="97" spans="1:7" x14ac:dyDescent="0.25">
      <c r="A97" s="8" t="s">
        <v>8</v>
      </c>
      <c r="B97" s="5">
        <f>B93/B11</f>
        <v>9233055.8820807282</v>
      </c>
      <c r="C97" s="19" t="s">
        <v>104</v>
      </c>
      <c r="D97" s="132">
        <v>0.65</v>
      </c>
      <c r="E97" s="1"/>
      <c r="F97" s="1"/>
      <c r="G97" s="1"/>
    </row>
    <row r="98" spans="1:7" x14ac:dyDescent="0.25">
      <c r="A98" s="8" t="s">
        <v>25</v>
      </c>
      <c r="B98" s="5">
        <f>B93/B84</f>
        <v>5.3595887372822775</v>
      </c>
      <c r="C98" s="23" t="s">
        <v>100</v>
      </c>
      <c r="D98" s="65">
        <f>(D93*D56+D94*D61+D95*D68+D96*D78+D97*D88)+1</f>
        <v>3.4717500000000001</v>
      </c>
      <c r="E98" s="1"/>
      <c r="F98" s="1"/>
      <c r="G98" s="1"/>
    </row>
    <row r="99" spans="1:7" ht="15.75" thickBot="1" x14ac:dyDescent="0.3">
      <c r="A99" s="37" t="s">
        <v>27</v>
      </c>
      <c r="B99" s="38">
        <f>B94/B85</f>
        <v>5.3595887372822775</v>
      </c>
      <c r="C99" s="11"/>
      <c r="D99" s="12"/>
      <c r="E99" s="1"/>
      <c r="F99" s="1"/>
      <c r="G99" s="1"/>
    </row>
    <row r="100" spans="1:7" x14ac:dyDescent="0.25">
      <c r="A100" s="21" t="str">
        <f>H25</f>
        <v>Smelt</v>
      </c>
      <c r="B100" s="89" t="s">
        <v>161</v>
      </c>
      <c r="C100" s="90">
        <f>H26</f>
        <v>6</v>
      </c>
      <c r="D100" s="7"/>
      <c r="E100" s="1"/>
      <c r="F100" s="1"/>
      <c r="G100" s="1"/>
    </row>
    <row r="101" spans="1:7" x14ac:dyDescent="0.25">
      <c r="A101" s="8" t="s">
        <v>60</v>
      </c>
      <c r="B101" s="5">
        <f>B55*D102+B60*D103+B66*D104+B75*D105+B84*D106+B93*D107</f>
        <v>2834449.4418361909</v>
      </c>
      <c r="C101" s="5"/>
      <c r="D101" s="9"/>
      <c r="E101" s="1"/>
      <c r="F101" s="1"/>
      <c r="G101" s="1"/>
    </row>
    <row r="102" spans="1:7" x14ac:dyDescent="0.25">
      <c r="A102" s="22" t="s">
        <v>167</v>
      </c>
      <c r="B102" s="5">
        <f>(B11*H36+B101*H37)/H45</f>
        <v>12777383.680807879</v>
      </c>
      <c r="C102" s="19" t="s">
        <v>133</v>
      </c>
      <c r="D102" s="132">
        <v>0</v>
      </c>
      <c r="E102" s="1"/>
      <c r="F102" s="1"/>
      <c r="G102" s="1"/>
    </row>
    <row r="103" spans="1:7" x14ac:dyDescent="0.25">
      <c r="A103" s="8" t="s">
        <v>17</v>
      </c>
      <c r="B103" s="5">
        <f>B102/H27</f>
        <v>255547673.61615756</v>
      </c>
      <c r="C103" s="19" t="s">
        <v>101</v>
      </c>
      <c r="D103" s="132">
        <v>0</v>
      </c>
      <c r="E103" s="1"/>
      <c r="F103" s="1"/>
      <c r="G103" s="1"/>
    </row>
    <row r="104" spans="1:7" x14ac:dyDescent="0.25">
      <c r="A104" s="28" t="s">
        <v>117</v>
      </c>
      <c r="B104" s="27">
        <f>B102/B4</f>
        <v>127773.83680807879</v>
      </c>
      <c r="C104" s="19" t="s">
        <v>102</v>
      </c>
      <c r="D104" s="132">
        <v>0.25</v>
      </c>
      <c r="E104" s="1"/>
      <c r="F104" s="1"/>
      <c r="G104" s="1"/>
    </row>
    <row r="105" spans="1:7" x14ac:dyDescent="0.25">
      <c r="A105" s="28" t="s">
        <v>145</v>
      </c>
      <c r="B105" s="27">
        <f>B104/H28</f>
        <v>25.55476736161576</v>
      </c>
      <c r="C105" s="19" t="s">
        <v>103</v>
      </c>
      <c r="D105" s="132">
        <v>0.6</v>
      </c>
      <c r="E105" s="1"/>
      <c r="F105" s="1"/>
      <c r="G105" s="1"/>
    </row>
    <row r="106" spans="1:7" x14ac:dyDescent="0.25">
      <c r="A106" s="8" t="s">
        <v>9</v>
      </c>
      <c r="B106" s="5">
        <f>B102/B11</f>
        <v>12777383.680807879</v>
      </c>
      <c r="C106" s="19" t="s">
        <v>104</v>
      </c>
      <c r="D106" s="132">
        <v>0.15</v>
      </c>
      <c r="E106" s="1"/>
      <c r="F106" s="1"/>
      <c r="G106" s="1"/>
    </row>
    <row r="107" spans="1:7" x14ac:dyDescent="0.25">
      <c r="A107" s="8" t="s">
        <v>26</v>
      </c>
      <c r="B107" s="49">
        <f>B102/B93</f>
        <v>1.383873751441913</v>
      </c>
      <c r="C107" s="19" t="s">
        <v>105</v>
      </c>
      <c r="D107" s="132">
        <v>0</v>
      </c>
      <c r="E107" s="1"/>
      <c r="F107" s="1"/>
      <c r="G107" s="1"/>
    </row>
    <row r="108" spans="1:7" ht="15.75" thickBot="1" x14ac:dyDescent="0.3">
      <c r="A108" s="10" t="s">
        <v>28</v>
      </c>
      <c r="B108" s="38">
        <f>B103/B94</f>
        <v>1.383873751441913</v>
      </c>
      <c r="C108" s="43" t="s">
        <v>106</v>
      </c>
      <c r="D108" s="68">
        <f>(D102*D56+D103*D61+D104*D68+D105*D78+D106*D88+D107*D98)+1</f>
        <v>3.5542499999999997</v>
      </c>
      <c r="E108" s="1"/>
      <c r="F108" s="1"/>
      <c r="G108" s="1"/>
    </row>
    <row r="109" spans="1:7" x14ac:dyDescent="0.25">
      <c r="A109" s="21" t="str">
        <f>I25</f>
        <v>Trout</v>
      </c>
      <c r="B109" s="89" t="s">
        <v>161</v>
      </c>
      <c r="C109" s="90">
        <f>I26</f>
        <v>7</v>
      </c>
      <c r="D109" s="7"/>
      <c r="E109" s="1"/>
      <c r="F109" s="1"/>
      <c r="G109" s="1"/>
    </row>
    <row r="110" spans="1:7" x14ac:dyDescent="0.25">
      <c r="A110" s="8" t="s">
        <v>120</v>
      </c>
      <c r="B110" s="5">
        <f>B55*D110+B60*D111+B66*D112+B75*D113+B84*D114+B93*D115+B102*D116</f>
        <v>9353480.1723768301</v>
      </c>
      <c r="C110" s="19" t="s">
        <v>133</v>
      </c>
      <c r="D110" s="132">
        <v>0</v>
      </c>
      <c r="E110" s="1"/>
      <c r="F110" s="1"/>
      <c r="G110" s="1"/>
    </row>
    <row r="111" spans="1:7" x14ac:dyDescent="0.25">
      <c r="A111" s="22" t="s">
        <v>168</v>
      </c>
      <c r="B111" s="5">
        <f>(B11*I36+B110*I37)/I45</f>
        <v>48544676.240277342</v>
      </c>
      <c r="C111" s="19" t="s">
        <v>101</v>
      </c>
      <c r="D111" s="132">
        <v>0</v>
      </c>
      <c r="E111" s="1"/>
      <c r="F111" s="1"/>
      <c r="G111" s="1"/>
    </row>
    <row r="112" spans="1:7" x14ac:dyDescent="0.25">
      <c r="A112" s="8" t="s">
        <v>121</v>
      </c>
      <c r="B112" s="5">
        <f>B111/I27</f>
        <v>970893524.80554676</v>
      </c>
      <c r="C112" s="19" t="s">
        <v>102</v>
      </c>
      <c r="D112" s="132">
        <v>0</v>
      </c>
      <c r="E112" s="1"/>
      <c r="F112" s="1"/>
      <c r="G112" s="1"/>
    </row>
    <row r="113" spans="1:7" x14ac:dyDescent="0.25">
      <c r="A113" s="28" t="s">
        <v>122</v>
      </c>
      <c r="B113" s="27">
        <f>B111/B4</f>
        <v>485446.76240277343</v>
      </c>
      <c r="C113" s="19" t="s">
        <v>103</v>
      </c>
      <c r="D113" s="132">
        <v>0.1</v>
      </c>
      <c r="E113" s="1"/>
      <c r="F113" s="1"/>
      <c r="G113" s="1"/>
    </row>
    <row r="114" spans="1:7" x14ac:dyDescent="0.25">
      <c r="A114" s="28" t="s">
        <v>146</v>
      </c>
      <c r="B114" s="27">
        <f>B113/I28</f>
        <v>97.08935248055468</v>
      </c>
      <c r="C114" s="19" t="s">
        <v>104</v>
      </c>
      <c r="D114" s="132">
        <v>0.1</v>
      </c>
      <c r="E114" s="1"/>
      <c r="F114" s="1"/>
      <c r="G114" s="1"/>
    </row>
    <row r="115" spans="1:7" x14ac:dyDescent="0.25">
      <c r="A115" s="8" t="s">
        <v>123</v>
      </c>
      <c r="B115" s="5">
        <f>B111/B11</f>
        <v>48544676.240277342</v>
      </c>
      <c r="C115" s="19" t="s">
        <v>105</v>
      </c>
      <c r="D115" s="132">
        <v>0.4</v>
      </c>
      <c r="E115" s="1"/>
      <c r="F115" s="1"/>
      <c r="G115" s="1"/>
    </row>
    <row r="116" spans="1:7" x14ac:dyDescent="0.25">
      <c r="A116" s="8" t="s">
        <v>124</v>
      </c>
      <c r="B116" s="5">
        <f>B111/B102</f>
        <v>3.7992657536920733</v>
      </c>
      <c r="C116" s="19" t="s">
        <v>119</v>
      </c>
      <c r="D116" s="132">
        <v>0.4</v>
      </c>
      <c r="E116" s="1"/>
      <c r="F116" s="1"/>
      <c r="G116" s="1"/>
    </row>
    <row r="117" spans="1:7" ht="15.75" thickBot="1" x14ac:dyDescent="0.3">
      <c r="A117" s="10" t="s">
        <v>125</v>
      </c>
      <c r="B117" s="11">
        <f>B112/B103</f>
        <v>3.7992657536920733</v>
      </c>
      <c r="C117" s="43" t="s">
        <v>118</v>
      </c>
      <c r="D117" s="68">
        <f>(D110*D56+D111*D61+D112*D68+D113*D78+D114*D88+D115*D98+D116*D108)+1</f>
        <v>4.3399000000000001</v>
      </c>
    </row>
    <row r="118" spans="1:7" ht="15.75" thickBot="1" x14ac:dyDescent="0.3"/>
    <row r="119" spans="1:7" x14ac:dyDescent="0.25">
      <c r="A119" s="13" t="s">
        <v>30</v>
      </c>
      <c r="B119" s="6"/>
      <c r="C119" s="6"/>
      <c r="D119" s="6"/>
      <c r="E119" s="6"/>
      <c r="F119" s="6"/>
      <c r="G119" s="7"/>
    </row>
    <row r="120" spans="1:7" x14ac:dyDescent="0.25">
      <c r="A120" s="8"/>
      <c r="B120" s="34" t="s">
        <v>31</v>
      </c>
      <c r="C120" s="34" t="s">
        <v>34</v>
      </c>
      <c r="D120" s="34" t="s">
        <v>51</v>
      </c>
      <c r="E120" s="34" t="s">
        <v>36</v>
      </c>
      <c r="F120" s="34" t="s">
        <v>37</v>
      </c>
      <c r="G120" s="35" t="s">
        <v>38</v>
      </c>
    </row>
    <row r="121" spans="1:7" x14ac:dyDescent="0.25">
      <c r="A121" s="8"/>
      <c r="B121" s="49">
        <v>0</v>
      </c>
      <c r="C121" s="49">
        <f>B55</f>
        <v>500000</v>
      </c>
      <c r="D121" s="49">
        <f>B56</f>
        <v>10000000</v>
      </c>
      <c r="E121" s="49">
        <f>B57</f>
        <v>5000</v>
      </c>
      <c r="F121" s="49">
        <f>B58</f>
        <v>1</v>
      </c>
      <c r="G121" s="66">
        <f>D56</f>
        <v>1.5</v>
      </c>
    </row>
    <row r="122" spans="1:7" x14ac:dyDescent="0.25">
      <c r="A122" s="8"/>
      <c r="B122" s="5">
        <f>C26</f>
        <v>1</v>
      </c>
      <c r="C122" s="5">
        <f>B60</f>
        <v>500000</v>
      </c>
      <c r="D122" s="5">
        <f>B61</f>
        <v>10000000</v>
      </c>
      <c r="E122" s="5">
        <f>B62</f>
        <v>5000</v>
      </c>
      <c r="F122" s="5">
        <f>B63</f>
        <v>1</v>
      </c>
      <c r="G122" s="55">
        <f>D61</f>
        <v>1</v>
      </c>
    </row>
    <row r="123" spans="1:7" x14ac:dyDescent="0.25">
      <c r="A123" s="8"/>
      <c r="B123" s="5">
        <f>D26</f>
        <v>2</v>
      </c>
      <c r="C123" s="5">
        <f>B65</f>
        <v>500000</v>
      </c>
      <c r="D123" s="5">
        <f>B67</f>
        <v>25107689.085904166</v>
      </c>
      <c r="E123" s="5">
        <f>B68</f>
        <v>12553.844542952085</v>
      </c>
      <c r="F123" s="5">
        <f>B69</f>
        <v>2.5107689085904172</v>
      </c>
      <c r="G123" s="55">
        <f>D68</f>
        <v>2</v>
      </c>
    </row>
    <row r="124" spans="1:7" x14ac:dyDescent="0.25">
      <c r="A124" s="8"/>
      <c r="B124" s="5">
        <f>E26</f>
        <v>3</v>
      </c>
      <c r="C124" s="5">
        <f>B75</f>
        <v>3770326.2387340167</v>
      </c>
      <c r="D124" s="5">
        <f>B76</f>
        <v>75406524.774680331</v>
      </c>
      <c r="E124" s="5">
        <f>B77</f>
        <v>37703.262387340168</v>
      </c>
      <c r="F124" s="5">
        <f>B78</f>
        <v>7.5406524774680337</v>
      </c>
      <c r="G124" s="55">
        <f>D78</f>
        <v>2.8</v>
      </c>
    </row>
    <row r="125" spans="1:7" x14ac:dyDescent="0.25">
      <c r="A125" s="8"/>
      <c r="B125" s="5">
        <f>F26</f>
        <v>4</v>
      </c>
      <c r="C125" s="5">
        <f>B84</f>
        <v>1722717.2334798577</v>
      </c>
      <c r="D125" s="5">
        <f>B85</f>
        <v>34454344.669597149</v>
      </c>
      <c r="E125" s="5">
        <f>B86</f>
        <v>17227.172334798575</v>
      </c>
      <c r="F125" s="5">
        <f>B87</f>
        <v>3.445434466959715</v>
      </c>
      <c r="G125" s="55">
        <f>D88</f>
        <v>2.4950000000000001</v>
      </c>
    </row>
    <row r="126" spans="1:7" x14ac:dyDescent="0.25">
      <c r="A126" s="8"/>
      <c r="B126" s="5">
        <f>G26</f>
        <v>5</v>
      </c>
      <c r="C126" s="5">
        <f>B93</f>
        <v>9233055.8820807282</v>
      </c>
      <c r="D126" s="5">
        <f>B94</f>
        <v>184661117.64161456</v>
      </c>
      <c r="E126" s="5">
        <f>B95</f>
        <v>92330.558820807288</v>
      </c>
      <c r="F126" s="5">
        <f>B96</f>
        <v>18.466111764161457</v>
      </c>
      <c r="G126" s="55">
        <f>D98</f>
        <v>3.4717500000000001</v>
      </c>
    </row>
    <row r="127" spans="1:7" x14ac:dyDescent="0.25">
      <c r="A127" s="8"/>
      <c r="B127" s="5">
        <f>H26</f>
        <v>6</v>
      </c>
      <c r="C127" s="5">
        <f>B102</f>
        <v>12777383.680807879</v>
      </c>
      <c r="D127" s="5">
        <f>B103</f>
        <v>255547673.61615756</v>
      </c>
      <c r="E127" s="5">
        <f>B104</f>
        <v>127773.83680807879</v>
      </c>
      <c r="F127" s="5">
        <f>B105</f>
        <v>25.55476736161576</v>
      </c>
      <c r="G127" s="55">
        <f>D108</f>
        <v>3.5542499999999997</v>
      </c>
    </row>
    <row r="128" spans="1:7" x14ac:dyDescent="0.25">
      <c r="A128" s="8"/>
      <c r="B128" s="5">
        <v>7</v>
      </c>
      <c r="C128" s="5">
        <f>B111</f>
        <v>48544676.240277342</v>
      </c>
      <c r="D128" s="5">
        <f>B112</f>
        <v>970893524.80554676</v>
      </c>
      <c r="E128" s="5">
        <f>B113</f>
        <v>485446.76240277343</v>
      </c>
      <c r="F128" s="5">
        <f>B114</f>
        <v>97.08935248055468</v>
      </c>
      <c r="G128" s="55">
        <f>D117</f>
        <v>4.3399000000000001</v>
      </c>
    </row>
    <row r="129" spans="1:8" x14ac:dyDescent="0.25">
      <c r="A129" s="8"/>
      <c r="B129" s="5" t="s">
        <v>32</v>
      </c>
      <c r="C129" s="5">
        <f>B11</f>
        <v>1</v>
      </c>
      <c r="D129" s="5"/>
      <c r="E129" s="5">
        <f>B12</f>
        <v>0.01</v>
      </c>
      <c r="F129" s="5">
        <f>B20</f>
        <v>1</v>
      </c>
      <c r="G129" s="9"/>
    </row>
    <row r="130" spans="1:8" ht="15.75" thickBot="1" x14ac:dyDescent="0.3">
      <c r="A130" s="10"/>
      <c r="B130" s="11" t="s">
        <v>33</v>
      </c>
      <c r="C130" s="11">
        <f>B16</f>
        <v>140000</v>
      </c>
      <c r="D130" s="11"/>
      <c r="E130" s="11">
        <f>B17</f>
        <v>700</v>
      </c>
      <c r="F130" s="11">
        <f>B21</f>
        <v>1</v>
      </c>
      <c r="G130" s="12"/>
    </row>
    <row r="131" spans="1:8" x14ac:dyDescent="0.25">
      <c r="A131" s="13" t="s">
        <v>39</v>
      </c>
      <c r="B131" s="6"/>
      <c r="C131" s="6"/>
      <c r="D131" s="6"/>
      <c r="E131" s="6"/>
      <c r="F131" s="6"/>
      <c r="G131" s="7"/>
    </row>
    <row r="132" spans="1:8" x14ac:dyDescent="0.25">
      <c r="A132" s="8"/>
      <c r="B132" s="34" t="s">
        <v>31</v>
      </c>
      <c r="C132" s="34" t="s">
        <v>34</v>
      </c>
      <c r="D132" s="34" t="s">
        <v>35</v>
      </c>
      <c r="E132" s="34" t="s">
        <v>36</v>
      </c>
      <c r="F132" s="34" t="s">
        <v>37</v>
      </c>
      <c r="G132" s="35" t="s">
        <v>44</v>
      </c>
    </row>
    <row r="133" spans="1:8" x14ac:dyDescent="0.25">
      <c r="A133" s="8"/>
      <c r="B133" s="49">
        <f>B121</f>
        <v>0</v>
      </c>
      <c r="C133" s="49">
        <f>LOG(C121)</f>
        <v>5.6989700043360187</v>
      </c>
      <c r="D133" s="49">
        <f t="shared" ref="D133:F133" si="26">LOG(D121)</f>
        <v>7</v>
      </c>
      <c r="E133" s="49">
        <f t="shared" si="26"/>
        <v>3.6989700043360187</v>
      </c>
      <c r="F133" s="49">
        <f t="shared" si="26"/>
        <v>0</v>
      </c>
      <c r="G133" s="50">
        <f t="shared" ref="G133:G140" si="27">F133/G121</f>
        <v>0</v>
      </c>
    </row>
    <row r="134" spans="1:8" x14ac:dyDescent="0.25">
      <c r="A134" s="8"/>
      <c r="B134" s="49">
        <f t="shared" ref="B134:B140" si="28">B122</f>
        <v>1</v>
      </c>
      <c r="C134" s="5">
        <f>LOG(C122)</f>
        <v>5.6989700043360187</v>
      </c>
      <c r="D134" s="5">
        <f>LOG(D122)</f>
        <v>7</v>
      </c>
      <c r="E134" s="5">
        <f>LOG(E122)</f>
        <v>3.6989700043360187</v>
      </c>
      <c r="F134" s="5">
        <f>LOG(F122)</f>
        <v>0</v>
      </c>
      <c r="G134" s="9">
        <f t="shared" si="27"/>
        <v>0</v>
      </c>
    </row>
    <row r="135" spans="1:8" x14ac:dyDescent="0.25">
      <c r="A135" s="8"/>
      <c r="B135" s="49">
        <f t="shared" si="28"/>
        <v>2</v>
      </c>
      <c r="C135" s="5">
        <f t="shared" ref="C135:F135" si="29">LOG(C123)</f>
        <v>5.6989700043360187</v>
      </c>
      <c r="D135" s="5">
        <f t="shared" si="29"/>
        <v>7.3998067420468505</v>
      </c>
      <c r="E135" s="5">
        <f t="shared" si="29"/>
        <v>4.0987767463828693</v>
      </c>
      <c r="F135" s="5">
        <f t="shared" si="29"/>
        <v>0.39980674204685046</v>
      </c>
      <c r="G135" s="9">
        <f t="shared" si="27"/>
        <v>0.19990337102342523</v>
      </c>
    </row>
    <row r="136" spans="1:8" x14ac:dyDescent="0.25">
      <c r="A136" s="8"/>
      <c r="B136" s="49">
        <f t="shared" si="28"/>
        <v>3</v>
      </c>
      <c r="C136" s="5">
        <f t="shared" ref="C136:F136" si="30">LOG(C124)</f>
        <v>6.5763789304583096</v>
      </c>
      <c r="D136" s="5">
        <f t="shared" si="30"/>
        <v>7.8774089261222908</v>
      </c>
      <c r="E136" s="5">
        <f t="shared" si="30"/>
        <v>4.5763789304583096</v>
      </c>
      <c r="F136" s="5">
        <f t="shared" si="30"/>
        <v>0.87740892612229082</v>
      </c>
      <c r="G136" s="9">
        <f t="shared" si="27"/>
        <v>0.31336033075796105</v>
      </c>
    </row>
    <row r="137" spans="1:8" x14ac:dyDescent="0.25">
      <c r="A137" s="8"/>
      <c r="B137" s="49">
        <f t="shared" si="28"/>
        <v>4</v>
      </c>
      <c r="C137" s="5">
        <f t="shared" ref="C137:F137" si="31">LOG(C125)</f>
        <v>6.2362139982737261</v>
      </c>
      <c r="D137" s="5">
        <f t="shared" si="31"/>
        <v>7.5372439939377074</v>
      </c>
      <c r="E137" s="5">
        <f t="shared" si="31"/>
        <v>4.2362139982737261</v>
      </c>
      <c r="F137" s="5">
        <f t="shared" si="31"/>
        <v>0.5372439939377075</v>
      </c>
      <c r="G137" s="9">
        <f t="shared" si="27"/>
        <v>0.21532825408324949</v>
      </c>
    </row>
    <row r="138" spans="1:8" x14ac:dyDescent="0.25">
      <c r="A138" s="8"/>
      <c r="B138" s="49">
        <f t="shared" si="28"/>
        <v>5</v>
      </c>
      <c r="C138" s="5">
        <f t="shared" ref="C138:F138" si="32">LOG(C126)</f>
        <v>6.9653454640893617</v>
      </c>
      <c r="D138" s="5">
        <f t="shared" si="32"/>
        <v>8.266375459753343</v>
      </c>
      <c r="E138" s="5">
        <f t="shared" si="32"/>
        <v>4.9653454640893617</v>
      </c>
      <c r="F138" s="5">
        <f t="shared" si="32"/>
        <v>1.266375459753343</v>
      </c>
      <c r="G138" s="9">
        <f t="shared" si="27"/>
        <v>0.36476574054967753</v>
      </c>
    </row>
    <row r="139" spans="1:8" x14ac:dyDescent="0.25">
      <c r="A139" s="8"/>
      <c r="B139" s="49">
        <f t="shared" si="28"/>
        <v>6</v>
      </c>
      <c r="C139" s="5">
        <f t="shared" ref="C139:F139" si="33">LOG(C127)</f>
        <v>7.106441936035945</v>
      </c>
      <c r="D139" s="5">
        <f t="shared" si="33"/>
        <v>8.4074719316999253</v>
      </c>
      <c r="E139" s="5">
        <f t="shared" si="33"/>
        <v>5.106441936035945</v>
      </c>
      <c r="F139" s="5">
        <f t="shared" si="33"/>
        <v>1.407471931699926</v>
      </c>
      <c r="G139" s="9">
        <f t="shared" si="27"/>
        <v>0.3959968858971446</v>
      </c>
    </row>
    <row r="140" spans="1:8" ht="15.75" thickBot="1" x14ac:dyDescent="0.3">
      <c r="A140" s="8"/>
      <c r="B140" s="49">
        <f t="shared" si="28"/>
        <v>7</v>
      </c>
      <c r="C140" s="5">
        <f t="shared" ref="C140:F140" si="34">LOG(C128)</f>
        <v>7.6861416089866488</v>
      </c>
      <c r="D140" s="5">
        <f t="shared" si="34"/>
        <v>8.98717160465063</v>
      </c>
      <c r="E140" s="5">
        <f t="shared" si="34"/>
        <v>5.6861416089866488</v>
      </c>
      <c r="F140" s="5">
        <f t="shared" si="34"/>
        <v>1.9871716046506298</v>
      </c>
      <c r="G140" s="9">
        <f t="shared" si="27"/>
        <v>0.45788419195157254</v>
      </c>
    </row>
    <row r="141" spans="1:8" x14ac:dyDescent="0.25">
      <c r="A141" s="13" t="s">
        <v>126</v>
      </c>
      <c r="B141" s="59" t="s">
        <v>127</v>
      </c>
      <c r="C141" s="6"/>
      <c r="D141" s="6"/>
      <c r="E141" s="6"/>
      <c r="F141" s="6"/>
      <c r="G141" s="6"/>
      <c r="H141" s="7"/>
    </row>
    <row r="142" spans="1:8" x14ac:dyDescent="0.25">
      <c r="A142" s="39"/>
      <c r="B142" s="34" t="s">
        <v>40</v>
      </c>
      <c r="C142" s="34">
        <v>2</v>
      </c>
      <c r="D142" s="34">
        <v>3</v>
      </c>
      <c r="E142" s="34">
        <v>4</v>
      </c>
      <c r="F142" s="34">
        <v>5</v>
      </c>
      <c r="G142" s="34">
        <v>6</v>
      </c>
      <c r="H142" s="35">
        <v>7</v>
      </c>
    </row>
    <row r="143" spans="1:8" x14ac:dyDescent="0.25">
      <c r="A143" s="39"/>
      <c r="B143" s="34">
        <v>0</v>
      </c>
      <c r="C143" s="49">
        <f>D66</f>
        <v>0</v>
      </c>
      <c r="D143" s="49">
        <f>D75</f>
        <v>0.2</v>
      </c>
      <c r="E143" s="49">
        <f>D84</f>
        <v>0.99</v>
      </c>
      <c r="F143" s="49">
        <f>D93</f>
        <v>0.1</v>
      </c>
      <c r="G143" s="49">
        <f t="shared" ref="G143:G148" si="35">D102</f>
        <v>0</v>
      </c>
      <c r="H143" s="50">
        <f t="shared" ref="H143:H149" si="36">D110</f>
        <v>0</v>
      </c>
    </row>
    <row r="144" spans="1:8" x14ac:dyDescent="0.25">
      <c r="A144" s="8"/>
      <c r="B144" s="34">
        <v>1</v>
      </c>
      <c r="C144" s="5">
        <f>D67</f>
        <v>1</v>
      </c>
      <c r="D144" s="5">
        <f>D76</f>
        <v>0.1</v>
      </c>
      <c r="E144" s="5">
        <f>D85</f>
        <v>0.01</v>
      </c>
      <c r="F144" s="5">
        <f>D94</f>
        <v>0</v>
      </c>
      <c r="G144" s="5">
        <f t="shared" si="35"/>
        <v>0</v>
      </c>
      <c r="H144" s="9">
        <f t="shared" si="36"/>
        <v>0</v>
      </c>
    </row>
    <row r="145" spans="1:9" x14ac:dyDescent="0.25">
      <c r="A145" s="8"/>
      <c r="B145" s="34">
        <v>2</v>
      </c>
      <c r="C145" s="5"/>
      <c r="D145" s="5">
        <f>D77</f>
        <v>0.7</v>
      </c>
      <c r="E145" s="5">
        <f>D86</f>
        <v>0</v>
      </c>
      <c r="F145" s="5">
        <f>D95</f>
        <v>0</v>
      </c>
      <c r="G145" s="5">
        <f t="shared" si="35"/>
        <v>0.25</v>
      </c>
      <c r="H145" s="9">
        <f t="shared" si="36"/>
        <v>0</v>
      </c>
    </row>
    <row r="146" spans="1:9" x14ac:dyDescent="0.25">
      <c r="A146" s="8"/>
      <c r="B146" s="34">
        <v>3</v>
      </c>
      <c r="C146" s="5"/>
      <c r="D146" s="5"/>
      <c r="E146" s="5">
        <f>D87</f>
        <v>0</v>
      </c>
      <c r="F146" s="5">
        <f>D96</f>
        <v>0.25</v>
      </c>
      <c r="G146" s="5">
        <f t="shared" si="35"/>
        <v>0.6</v>
      </c>
      <c r="H146" s="9">
        <f t="shared" si="36"/>
        <v>0.1</v>
      </c>
    </row>
    <row r="147" spans="1:9" x14ac:dyDescent="0.25">
      <c r="A147" s="8"/>
      <c r="B147" s="34">
        <v>4</v>
      </c>
      <c r="C147" s="5"/>
      <c r="D147" s="5"/>
      <c r="E147" s="5"/>
      <c r="F147" s="5">
        <f>D97</f>
        <v>0.65</v>
      </c>
      <c r="G147" s="5">
        <f t="shared" si="35"/>
        <v>0.15</v>
      </c>
      <c r="H147" s="9">
        <f t="shared" si="36"/>
        <v>0.1</v>
      </c>
    </row>
    <row r="148" spans="1:9" x14ac:dyDescent="0.25">
      <c r="A148" s="8"/>
      <c r="B148" s="34">
        <v>5</v>
      </c>
      <c r="C148" s="5"/>
      <c r="D148" s="5"/>
      <c r="E148" s="5"/>
      <c r="F148" s="5"/>
      <c r="G148" s="5">
        <f t="shared" si="35"/>
        <v>0</v>
      </c>
      <c r="H148" s="9">
        <f t="shared" si="36"/>
        <v>0.4</v>
      </c>
    </row>
    <row r="149" spans="1:9" x14ac:dyDescent="0.25">
      <c r="A149" s="8"/>
      <c r="B149" s="34">
        <v>6</v>
      </c>
      <c r="C149" s="5"/>
      <c r="D149" s="5"/>
      <c r="E149" s="5"/>
      <c r="F149" s="5"/>
      <c r="G149" s="5"/>
      <c r="H149" s="9">
        <f t="shared" si="36"/>
        <v>0.4</v>
      </c>
    </row>
    <row r="150" spans="1:9" ht="15.75" thickBot="1" x14ac:dyDescent="0.3">
      <c r="A150" s="10"/>
      <c r="B150" s="11" t="s">
        <v>41</v>
      </c>
      <c r="C150" s="11">
        <f>SUM(C143:C149)</f>
        <v>1</v>
      </c>
      <c r="D150" s="11">
        <f t="shared" ref="D150:H150" si="37">SUM(D143:D149)</f>
        <v>1</v>
      </c>
      <c r="E150" s="11">
        <f t="shared" si="37"/>
        <v>1</v>
      </c>
      <c r="F150" s="11">
        <f t="shared" si="37"/>
        <v>1</v>
      </c>
      <c r="G150" s="11">
        <f t="shared" si="37"/>
        <v>1</v>
      </c>
      <c r="H150" s="12">
        <f t="shared" si="37"/>
        <v>1</v>
      </c>
    </row>
    <row r="151" spans="1:9" x14ac:dyDescent="0.25">
      <c r="A151" s="40" t="s">
        <v>45</v>
      </c>
      <c r="B151" s="34" t="s">
        <v>46</v>
      </c>
      <c r="C151" s="34" t="s">
        <v>31</v>
      </c>
      <c r="D151" s="34" t="s">
        <v>52</v>
      </c>
      <c r="E151" s="34" t="s">
        <v>54</v>
      </c>
      <c r="F151" s="34" t="s">
        <v>53</v>
      </c>
      <c r="G151" s="35" t="s">
        <v>55</v>
      </c>
      <c r="H151" s="5"/>
      <c r="I151" s="5"/>
    </row>
    <row r="152" spans="1:9" x14ac:dyDescent="0.25">
      <c r="A152" s="8"/>
      <c r="B152" s="5">
        <f>B6</f>
        <v>7</v>
      </c>
      <c r="C152" s="5">
        <v>3</v>
      </c>
      <c r="D152" s="5">
        <f>E41</f>
        <v>0</v>
      </c>
      <c r="E152" s="5" t="e">
        <f>0.693/D152</f>
        <v>#DIV/0!</v>
      </c>
      <c r="F152" s="5">
        <f>E42</f>
        <v>5.9161751983067244E-3</v>
      </c>
      <c r="G152" s="9">
        <f>0.693/F152</f>
        <v>117.13649051474073</v>
      </c>
      <c r="H152" s="5"/>
      <c r="I152" s="5"/>
    </row>
    <row r="153" spans="1:9" x14ac:dyDescent="0.25">
      <c r="A153" s="8"/>
      <c r="B153" s="5"/>
      <c r="C153" s="5">
        <v>4</v>
      </c>
      <c r="D153" s="5">
        <f>F41</f>
        <v>0</v>
      </c>
      <c r="E153" s="5" t="e">
        <f>0.693/D153</f>
        <v>#DIV/0!</v>
      </c>
      <c r="F153" s="5">
        <f>F42</f>
        <v>8.5346149968754254E-3</v>
      </c>
      <c r="G153" s="9">
        <f>0.693/F153</f>
        <v>81.198741859323647</v>
      </c>
      <c r="H153" s="5"/>
      <c r="I153" s="5"/>
    </row>
    <row r="154" spans="1:9" x14ac:dyDescent="0.25">
      <c r="A154" s="8"/>
      <c r="B154" s="5"/>
      <c r="C154" s="5">
        <v>5</v>
      </c>
      <c r="D154" s="5">
        <f>G41</f>
        <v>0</v>
      </c>
      <c r="E154" s="5" t="e">
        <f>0.693/D154</f>
        <v>#DIV/0!</v>
      </c>
      <c r="F154" s="5">
        <f>G42</f>
        <v>2.5713057492260712E-3</v>
      </c>
      <c r="G154" s="9">
        <f>0.693/F154</f>
        <v>269.51287306403907</v>
      </c>
      <c r="H154" s="5"/>
      <c r="I154" s="5"/>
    </row>
    <row r="155" spans="1:9" x14ac:dyDescent="0.25">
      <c r="A155" s="8"/>
      <c r="B155" s="5"/>
      <c r="C155" s="5">
        <v>6</v>
      </c>
      <c r="D155" s="5">
        <f>H41</f>
        <v>0</v>
      </c>
      <c r="E155" s="5" t="e">
        <f>0.693/D155</f>
        <v>#DIV/0!</v>
      </c>
      <c r="F155" s="5">
        <f>H42</f>
        <v>2.1357235612417952E-3</v>
      </c>
      <c r="G155" s="9">
        <f>0.693/F155</f>
        <v>324.48019611539144</v>
      </c>
      <c r="H155" s="5"/>
      <c r="I155" s="5"/>
    </row>
    <row r="156" spans="1:9" ht="15.75" thickBot="1" x14ac:dyDescent="0.3">
      <c r="A156" s="10"/>
      <c r="B156" s="11"/>
      <c r="C156" s="43">
        <v>7</v>
      </c>
      <c r="D156" s="11">
        <f>I41</f>
        <v>0</v>
      </c>
      <c r="E156" s="43" t="e">
        <f>0.693/D156</f>
        <v>#DIV/0!</v>
      </c>
      <c r="F156" s="11">
        <f>I42</f>
        <v>6.9228920030330043E-4</v>
      </c>
      <c r="G156" s="17">
        <f>0.693/F156</f>
        <v>1001.026738097876</v>
      </c>
      <c r="H156" s="5"/>
      <c r="I156" s="5"/>
    </row>
    <row r="157" spans="1:9" x14ac:dyDescent="0.25">
      <c r="A157" s="44" t="s">
        <v>31</v>
      </c>
      <c r="B157" s="6">
        <f>B121</f>
        <v>0</v>
      </c>
      <c r="C157" s="6">
        <f>B122</f>
        <v>1</v>
      </c>
      <c r="D157" s="6">
        <f>B123</f>
        <v>2</v>
      </c>
      <c r="E157" s="6">
        <f>B124</f>
        <v>3</v>
      </c>
      <c r="F157" s="6">
        <f>B125</f>
        <v>4</v>
      </c>
      <c r="G157" s="6">
        <f>B126</f>
        <v>5</v>
      </c>
      <c r="H157" s="6">
        <f>B127</f>
        <v>6</v>
      </c>
      <c r="I157" s="29">
        <f>B128</f>
        <v>7</v>
      </c>
    </row>
    <row r="158" spans="1:9" x14ac:dyDescent="0.25">
      <c r="A158" s="30" t="s">
        <v>137</v>
      </c>
      <c r="B158" s="67">
        <f>G121</f>
        <v>1.5</v>
      </c>
      <c r="C158" s="31">
        <f>G122</f>
        <v>1</v>
      </c>
      <c r="D158" s="31">
        <f>G123</f>
        <v>2</v>
      </c>
      <c r="E158" s="31">
        <f>G124</f>
        <v>2.8</v>
      </c>
      <c r="F158" s="31">
        <f>G125</f>
        <v>2.4950000000000001</v>
      </c>
      <c r="G158" s="31">
        <f>G126</f>
        <v>3.4717500000000001</v>
      </c>
      <c r="H158" s="31">
        <f>G127</f>
        <v>3.5542499999999997</v>
      </c>
      <c r="I158" s="45">
        <f>G128</f>
        <v>4.3399000000000001</v>
      </c>
    </row>
    <row r="159" spans="1:9" x14ac:dyDescent="0.25">
      <c r="A159" s="30" t="s">
        <v>47</v>
      </c>
      <c r="B159" s="67">
        <f>F133</f>
        <v>0</v>
      </c>
      <c r="C159" s="31">
        <f>F134</f>
        <v>0</v>
      </c>
      <c r="D159" s="31">
        <f>F135</f>
        <v>0.39980674204685046</v>
      </c>
      <c r="E159" s="31">
        <f>F136</f>
        <v>0.87740892612229082</v>
      </c>
      <c r="F159" s="31">
        <f>F137</f>
        <v>0.5372439939377075</v>
      </c>
      <c r="G159" s="31">
        <f>F138</f>
        <v>1.266375459753343</v>
      </c>
      <c r="H159" s="31">
        <f>F139</f>
        <v>1.407471931699926</v>
      </c>
      <c r="I159" s="45">
        <f>F140</f>
        <v>1.9871716046506298</v>
      </c>
    </row>
    <row r="160" spans="1:9" x14ac:dyDescent="0.25">
      <c r="A160" s="8" t="s">
        <v>57</v>
      </c>
      <c r="B160" s="5"/>
      <c r="C160" s="5">
        <f>F122</f>
        <v>1</v>
      </c>
      <c r="D160" s="5">
        <f>F123</f>
        <v>2.5107689085904172</v>
      </c>
      <c r="E160" s="5">
        <f>F124</f>
        <v>7.5406524774680337</v>
      </c>
      <c r="F160" s="5">
        <f>F125</f>
        <v>3.445434466959715</v>
      </c>
      <c r="G160" s="5">
        <f>F126</f>
        <v>18.466111764161457</v>
      </c>
      <c r="H160" s="5">
        <f>F127</f>
        <v>25.55476736161576</v>
      </c>
      <c r="I160" s="9">
        <f>F128</f>
        <v>97.08935248055468</v>
      </c>
    </row>
    <row r="161" spans="1:9" x14ac:dyDescent="0.25">
      <c r="A161" s="40" t="s">
        <v>215</v>
      </c>
      <c r="B161" s="49">
        <f>LINEST(B159:I159,B158:I158)</f>
        <v>0.61964027248041487</v>
      </c>
      <c r="C161" s="34"/>
      <c r="D161" s="49" t="s">
        <v>129</v>
      </c>
      <c r="E161" s="49">
        <f>10^B161</f>
        <v>4.1652423218065993</v>
      </c>
      <c r="F161" s="34"/>
      <c r="G161" s="49"/>
      <c r="H161" s="49"/>
      <c r="I161" s="50"/>
    </row>
    <row r="162" spans="1:9" ht="15.75" thickBot="1" x14ac:dyDescent="0.3">
      <c r="A162" s="62" t="s">
        <v>128</v>
      </c>
      <c r="B162" s="38">
        <f>(B90+B99+B108+B117)/4</f>
        <v>2.7499107191072563</v>
      </c>
      <c r="C162" s="38"/>
      <c r="D162" s="38"/>
      <c r="E162" s="38"/>
      <c r="F162" s="38"/>
      <c r="G162" s="38"/>
      <c r="H162" s="38"/>
      <c r="I162" s="53"/>
    </row>
    <row r="163" spans="1:9" x14ac:dyDescent="0.25">
      <c r="A163" s="121"/>
      <c r="B163" s="49"/>
      <c r="C163" s="49"/>
      <c r="D163" s="49"/>
      <c r="E163" s="115"/>
      <c r="F163" s="115"/>
      <c r="G163" s="49"/>
    </row>
    <row r="164" spans="1:9" x14ac:dyDescent="0.25">
      <c r="A164" s="52"/>
      <c r="B164" s="49"/>
      <c r="C164" s="49"/>
      <c r="D164" s="49"/>
      <c r="E164" s="115"/>
      <c r="F164" s="115"/>
      <c r="G164" s="49"/>
    </row>
    <row r="165" spans="1:9" x14ac:dyDescent="0.25">
      <c r="A165" s="49"/>
      <c r="B165" s="49"/>
      <c r="C165" s="49"/>
      <c r="D165" s="49"/>
      <c r="E165" s="49"/>
    </row>
    <row r="166" spans="1:9" ht="18.75" x14ac:dyDescent="0.3">
      <c r="A166" s="49"/>
      <c r="B166" s="49"/>
      <c r="C166" s="49"/>
      <c r="D166" s="49"/>
      <c r="E166" s="49"/>
      <c r="F166" s="122" t="s">
        <v>129</v>
      </c>
      <c r="G166" s="123">
        <f>E161</f>
        <v>4.1652423218065993</v>
      </c>
    </row>
    <row r="167" spans="1:9" x14ac:dyDescent="0.25">
      <c r="A167" s="49"/>
      <c r="B167" s="49"/>
      <c r="C167" s="49"/>
      <c r="D167" s="49"/>
      <c r="E167" s="49"/>
      <c r="F167" s="49"/>
      <c r="G167" s="49"/>
    </row>
    <row r="168" spans="1:9" x14ac:dyDescent="0.25">
      <c r="A168" s="49"/>
      <c r="B168" s="49"/>
      <c r="C168" s="49"/>
      <c r="D168" s="49"/>
      <c r="E168" s="52"/>
      <c r="F168" s="49"/>
      <c r="G168" s="49"/>
    </row>
    <row r="169" spans="1:9" x14ac:dyDescent="0.25">
      <c r="A169" s="49"/>
      <c r="B169" s="49"/>
      <c r="C169" s="49"/>
      <c r="D169" s="49"/>
      <c r="E169" s="49"/>
      <c r="F169" s="49"/>
      <c r="G169" s="49"/>
    </row>
    <row r="170" spans="1:9" x14ac:dyDescent="0.25">
      <c r="A170" s="49"/>
      <c r="B170" s="49"/>
      <c r="C170" s="49"/>
      <c r="D170" s="49"/>
      <c r="E170" s="49"/>
      <c r="F170" s="49"/>
      <c r="G170" s="49"/>
    </row>
    <row r="187" spans="2:4" x14ac:dyDescent="0.25">
      <c r="B187" s="72"/>
      <c r="C187" s="72"/>
      <c r="D187" s="72"/>
    </row>
    <row r="188" spans="2:4" x14ac:dyDescent="0.25">
      <c r="B188" s="56"/>
      <c r="C188" s="56"/>
      <c r="D188" s="56"/>
    </row>
    <row r="189" spans="2:4" x14ac:dyDescent="0.25">
      <c r="B189" s="56"/>
      <c r="C189" s="56"/>
      <c r="D189" s="56"/>
    </row>
    <row r="190" spans="2:4" x14ac:dyDescent="0.25">
      <c r="B190" s="5"/>
      <c r="C190" s="5"/>
      <c r="D190" s="41"/>
    </row>
    <row r="191" spans="2:4" x14ac:dyDescent="0.25">
      <c r="B191" s="5"/>
      <c r="C191" s="5"/>
      <c r="D191" s="41"/>
    </row>
    <row r="192" spans="2:4" x14ac:dyDescent="0.25">
      <c r="B192" s="5"/>
      <c r="C192" s="5"/>
      <c r="D192" s="57"/>
    </row>
    <row r="193" spans="2:4" x14ac:dyDescent="0.25">
      <c r="B193" s="5"/>
      <c r="C193" s="5"/>
      <c r="D193" s="57"/>
    </row>
    <row r="194" spans="2:4" x14ac:dyDescent="0.25">
      <c r="B194" s="5"/>
      <c r="C194" s="5"/>
      <c r="D194" s="57"/>
    </row>
    <row r="195" spans="2:4" x14ac:dyDescent="0.25">
      <c r="B195" s="5"/>
      <c r="C195" s="5"/>
      <c r="D195" s="57"/>
    </row>
    <row r="196" spans="2:4" x14ac:dyDescent="0.25">
      <c r="B196" s="5"/>
      <c r="C196" s="5"/>
      <c r="D196" s="57"/>
    </row>
  </sheetData>
  <sheetProtection algorithmName="SHA-512" hashValue="hV1KmphYwGoXvORtATtJH4neqr1i3vXy6KVbNfn6giQo3vt9KP5BVBAmQVLCAYTic72Tn4Vs0/p5ojOl4XZchQ==" saltValue="zVHIiyKTDED4YmQpxSnkkQ==" spinCount="100000" sheet="1" objects="1" scenarios="1"/>
  <mergeCells count="5">
    <mergeCell ref="E163:F163"/>
    <mergeCell ref="E164:F164"/>
    <mergeCell ref="D6:F6"/>
    <mergeCell ref="D7:F7"/>
    <mergeCell ref="A1:I1"/>
  </mergeCells>
  <pageMargins left="0.7" right="0.7" top="0.75" bottom="0.75" header="0.3" footer="0.3"/>
  <pageSetup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0"/>
  <sheetViews>
    <sheetView zoomScaleNormal="100" workbookViewId="0">
      <selection activeCell="B18" sqref="B18:F18"/>
    </sheetView>
  </sheetViews>
  <sheetFormatPr defaultRowHeight="15" x14ac:dyDescent="0.25"/>
  <cols>
    <col min="1" max="1" width="34.42578125" customWidth="1"/>
    <col min="2" max="2" width="14.28515625" customWidth="1"/>
    <col min="3" max="3" width="15.5703125" bestFit="1" customWidth="1"/>
    <col min="4" max="4" width="11.42578125" customWidth="1"/>
    <col min="5" max="5" width="10.140625" customWidth="1"/>
    <col min="6" max="6" width="10.28515625" customWidth="1"/>
    <col min="7" max="7" width="9.28515625" customWidth="1"/>
    <col min="8" max="8" width="9.140625" customWidth="1"/>
    <col min="9" max="9" width="14.85546875" bestFit="1" customWidth="1"/>
    <col min="13" max="13" width="13.140625" bestFit="1" customWidth="1"/>
  </cols>
  <sheetData>
    <row r="1" spans="1:16" ht="15.75" thickBot="1" x14ac:dyDescent="0.3">
      <c r="A1" s="118" t="s">
        <v>132</v>
      </c>
      <c r="B1" s="118"/>
      <c r="C1" s="118"/>
      <c r="D1" s="118"/>
      <c r="E1" s="118"/>
      <c r="F1" s="118"/>
      <c r="G1" s="118"/>
      <c r="H1" s="33"/>
      <c r="I1" s="33"/>
      <c r="J1" s="33"/>
      <c r="K1" s="33"/>
    </row>
    <row r="2" spans="1:16" x14ac:dyDescent="0.25">
      <c r="A2" s="13" t="s">
        <v>107</v>
      </c>
      <c r="B2" s="20"/>
      <c r="F2" s="33"/>
      <c r="G2" s="33"/>
    </row>
    <row r="3" spans="1:16" x14ac:dyDescent="0.25">
      <c r="A3" s="18" t="s">
        <v>0</v>
      </c>
      <c r="B3" s="124" t="s">
        <v>1</v>
      </c>
    </row>
    <row r="4" spans="1:16" x14ac:dyDescent="0.25">
      <c r="A4" s="18" t="s">
        <v>69</v>
      </c>
      <c r="B4" s="124">
        <f>100</f>
        <v>100</v>
      </c>
      <c r="D4" s="116" t="s">
        <v>95</v>
      </c>
      <c r="E4" s="116"/>
      <c r="F4" s="116"/>
    </row>
    <row r="5" spans="1:16" x14ac:dyDescent="0.25">
      <c r="A5" s="18" t="s">
        <v>70</v>
      </c>
      <c r="B5" s="124">
        <f>0.01</f>
        <v>0.01</v>
      </c>
      <c r="D5" s="117" t="s">
        <v>131</v>
      </c>
      <c r="E5" s="117"/>
      <c r="F5" s="117"/>
    </row>
    <row r="6" spans="1:16" x14ac:dyDescent="0.25">
      <c r="A6" s="18" t="s">
        <v>2</v>
      </c>
      <c r="B6" s="124">
        <v>7.5</v>
      </c>
      <c r="H6" s="101"/>
      <c r="I6" s="108"/>
    </row>
    <row r="7" spans="1:16" x14ac:dyDescent="0.25">
      <c r="A7" s="14" t="s">
        <v>3</v>
      </c>
      <c r="B7" s="98">
        <f>10^B6</f>
        <v>31622776.601683889</v>
      </c>
    </row>
    <row r="8" spans="1:16" ht="15.75" thickBot="1" x14ac:dyDescent="0.3">
      <c r="A8" s="18" t="s">
        <v>71</v>
      </c>
      <c r="B8" s="124">
        <v>20</v>
      </c>
    </row>
    <row r="9" spans="1:16" x14ac:dyDescent="0.25">
      <c r="A9" s="18" t="s">
        <v>72</v>
      </c>
      <c r="B9" s="124">
        <v>8</v>
      </c>
      <c r="D9" s="13" t="s">
        <v>65</v>
      </c>
      <c r="E9" s="6"/>
      <c r="F9" s="6"/>
      <c r="G9" s="7"/>
    </row>
    <row r="10" spans="1:16" x14ac:dyDescent="0.25">
      <c r="A10" s="18" t="s">
        <v>63</v>
      </c>
      <c r="B10" s="124">
        <v>1</v>
      </c>
      <c r="D10" s="18" t="s">
        <v>174</v>
      </c>
      <c r="E10" s="19"/>
      <c r="F10" s="19"/>
      <c r="G10" s="124">
        <v>0</v>
      </c>
    </row>
    <row r="11" spans="1:16" x14ac:dyDescent="0.25">
      <c r="A11" s="8" t="s">
        <v>62</v>
      </c>
      <c r="B11" s="15">
        <f>B10/B4</f>
        <v>0.01</v>
      </c>
      <c r="D11" s="8" t="s">
        <v>68</v>
      </c>
      <c r="E11" s="5"/>
      <c r="F11" s="5"/>
      <c r="G11" s="9" t="e">
        <f>0.693/G10</f>
        <v>#DIV/0!</v>
      </c>
    </row>
    <row r="12" spans="1:16" ht="15.75" thickBot="1" x14ac:dyDescent="0.3">
      <c r="A12" s="25" t="s">
        <v>78</v>
      </c>
      <c r="B12" s="91">
        <f>B10/(B4*B5)</f>
        <v>1</v>
      </c>
      <c r="D12" s="18" t="s">
        <v>67</v>
      </c>
      <c r="E12" s="19"/>
      <c r="F12" s="19"/>
      <c r="G12" s="124">
        <v>2.5000000000000001E-3</v>
      </c>
    </row>
    <row r="13" spans="1:16" ht="15.75" thickBot="1" x14ac:dyDescent="0.3">
      <c r="A13" s="60"/>
      <c r="B13" s="60"/>
      <c r="D13" s="10" t="s">
        <v>66</v>
      </c>
      <c r="E13" s="11"/>
      <c r="F13" s="11"/>
      <c r="G13" s="12">
        <f>0.693/G12</f>
        <v>277.2</v>
      </c>
    </row>
    <row r="14" spans="1:16" x14ac:dyDescent="0.25">
      <c r="A14" s="60"/>
      <c r="B14" s="60"/>
      <c r="D14" s="5"/>
      <c r="E14" s="57"/>
      <c r="F14" s="5"/>
      <c r="J14" s="99"/>
    </row>
    <row r="15" spans="1:16" ht="15.75" thickBot="1" x14ac:dyDescent="0.3">
      <c r="A15" s="4"/>
      <c r="B15" s="4"/>
    </row>
    <row r="16" spans="1:16" x14ac:dyDescent="0.25">
      <c r="A16" s="13" t="s">
        <v>12</v>
      </c>
      <c r="B16" s="6"/>
      <c r="C16" s="6"/>
      <c r="D16" s="6"/>
      <c r="E16" s="6"/>
      <c r="F16" s="7"/>
      <c r="I16" s="96"/>
      <c r="J16" s="96"/>
      <c r="K16" s="96"/>
      <c r="L16" s="96"/>
      <c r="M16" s="96"/>
      <c r="N16" s="96"/>
      <c r="O16" s="96"/>
      <c r="P16" s="96"/>
    </row>
    <row r="17" spans="1:16" x14ac:dyDescent="0.25">
      <c r="A17" s="8" t="s">
        <v>11</v>
      </c>
      <c r="B17" s="133" t="s">
        <v>108</v>
      </c>
      <c r="C17" s="133" t="s">
        <v>109</v>
      </c>
      <c r="D17" s="133" t="s">
        <v>110</v>
      </c>
      <c r="E17" s="133" t="s">
        <v>111</v>
      </c>
      <c r="F17" s="134" t="s">
        <v>112</v>
      </c>
      <c r="I17" s="96"/>
      <c r="J17" s="96"/>
      <c r="K17" s="102"/>
      <c r="L17" s="96"/>
      <c r="M17" s="96"/>
      <c r="N17" s="96"/>
      <c r="O17" s="102"/>
      <c r="P17" s="96"/>
    </row>
    <row r="18" spans="1:16" x14ac:dyDescent="0.25">
      <c r="A18" s="8" t="s">
        <v>10</v>
      </c>
      <c r="B18" s="129">
        <v>1</v>
      </c>
      <c r="C18" s="129">
        <v>2</v>
      </c>
      <c r="D18" s="129">
        <v>3</v>
      </c>
      <c r="E18" s="129">
        <v>6</v>
      </c>
      <c r="F18" s="137">
        <v>7</v>
      </c>
      <c r="I18" s="96"/>
      <c r="J18" s="96"/>
      <c r="K18" s="96"/>
      <c r="L18" s="96"/>
      <c r="M18" s="96"/>
      <c r="N18" s="96"/>
      <c r="O18" s="96"/>
      <c r="P18" s="96"/>
    </row>
    <row r="19" spans="1:16" x14ac:dyDescent="0.25">
      <c r="A19" s="18" t="s">
        <v>80</v>
      </c>
      <c r="B19" s="128">
        <v>0.05</v>
      </c>
      <c r="C19" s="128">
        <v>0.05</v>
      </c>
      <c r="D19" s="128">
        <v>0.05</v>
      </c>
      <c r="E19" s="128">
        <v>0.05</v>
      </c>
      <c r="F19" s="124">
        <v>0.05</v>
      </c>
      <c r="I19" s="104"/>
      <c r="J19" s="96"/>
      <c r="K19" s="96"/>
      <c r="L19" s="96"/>
      <c r="M19" s="96"/>
      <c r="N19" s="96"/>
      <c r="O19" s="96"/>
      <c r="P19" s="96"/>
    </row>
    <row r="20" spans="1:16" x14ac:dyDescent="0.25">
      <c r="A20" s="28" t="s">
        <v>4</v>
      </c>
      <c r="B20" s="27">
        <f>$B5*B19*$B7</f>
        <v>15811.388300841945</v>
      </c>
      <c r="C20" s="27">
        <f>$B5*C19*$B7</f>
        <v>15811.388300841945</v>
      </c>
      <c r="D20" s="27">
        <f>$B5*D19*$B7</f>
        <v>15811.388300841945</v>
      </c>
      <c r="E20" s="27">
        <f>$B5*E19*$B7</f>
        <v>15811.388300841945</v>
      </c>
      <c r="F20" s="32">
        <f>$B5*F19*$B7</f>
        <v>15811.388300841945</v>
      </c>
      <c r="I20" s="96"/>
      <c r="J20" s="96"/>
      <c r="K20" s="96"/>
      <c r="L20" s="96"/>
      <c r="M20" s="96"/>
      <c r="N20" s="96"/>
      <c r="O20" s="96"/>
      <c r="P20" s="96"/>
    </row>
    <row r="21" spans="1:16" x14ac:dyDescent="0.25">
      <c r="A21" s="18" t="s">
        <v>81</v>
      </c>
      <c r="B21" s="138"/>
      <c r="C21" s="128">
        <f>0.0000000785*1000</f>
        <v>7.8499999999999997E-5</v>
      </c>
      <c r="D21" s="128">
        <f>0.0000656*1000</f>
        <v>6.5599999999999992E-2</v>
      </c>
      <c r="E21" s="128">
        <f>0.0107*1000</f>
        <v>10.7</v>
      </c>
      <c r="F21" s="124">
        <f>2.99*1000</f>
        <v>2990</v>
      </c>
      <c r="I21" s="60"/>
      <c r="J21" s="60"/>
      <c r="K21" s="60"/>
      <c r="L21" s="96"/>
      <c r="M21" s="96"/>
      <c r="N21" s="96"/>
      <c r="O21" s="96"/>
      <c r="P21" s="96"/>
    </row>
    <row r="22" spans="1:16" x14ac:dyDescent="0.25">
      <c r="A22" s="18" t="s">
        <v>29</v>
      </c>
      <c r="B22" s="138"/>
      <c r="C22" s="128">
        <v>7</v>
      </c>
      <c r="D22" s="128">
        <v>7</v>
      </c>
      <c r="E22" s="128">
        <v>7</v>
      </c>
      <c r="F22" s="124">
        <v>7</v>
      </c>
      <c r="I22" s="60"/>
      <c r="J22" s="60"/>
      <c r="K22" s="60"/>
      <c r="L22" s="96"/>
      <c r="O22" s="96"/>
      <c r="P22" s="96"/>
    </row>
    <row r="23" spans="1:16" x14ac:dyDescent="0.25">
      <c r="A23" s="8" t="s">
        <v>206</v>
      </c>
      <c r="B23" s="3"/>
      <c r="C23" s="5">
        <f t="shared" ref="C23:F23" si="0">1/(1.85+155/$B$7)</f>
        <v>0.54053910839521202</v>
      </c>
      <c r="D23" s="5">
        <f t="shared" si="0"/>
        <v>0.54053910839521202</v>
      </c>
      <c r="E23" s="5">
        <f t="shared" si="0"/>
        <v>0.54053910839521202</v>
      </c>
      <c r="F23" s="9">
        <f t="shared" si="0"/>
        <v>0.54053910839521202</v>
      </c>
    </row>
    <row r="24" spans="1:16" x14ac:dyDescent="0.25">
      <c r="A24" s="8" t="s">
        <v>213</v>
      </c>
      <c r="B24" s="60"/>
      <c r="C24" s="103">
        <f>1/(2.3+0.00000005*$B$6)</f>
        <v>0.43478253780719495</v>
      </c>
      <c r="D24" s="103">
        <f t="shared" ref="D24:F24" si="1">1/(2.3+0.00000005*$B$6)</f>
        <v>0.43478253780719495</v>
      </c>
      <c r="E24" s="103">
        <f t="shared" si="1"/>
        <v>0.43478253780719495</v>
      </c>
      <c r="F24" s="109">
        <f t="shared" si="1"/>
        <v>0.43478253780719495</v>
      </c>
      <c r="K24" s="101"/>
      <c r="O24" s="101"/>
    </row>
    <row r="25" spans="1:16" x14ac:dyDescent="0.25">
      <c r="A25" s="8" t="s">
        <v>82</v>
      </c>
      <c r="B25" s="23"/>
      <c r="C25" s="5">
        <f>1400*(C21/1000)^0.65/$B$9</f>
        <v>4.2140853327665342E-3</v>
      </c>
      <c r="D25" s="5">
        <f>1400*(D21/1000)^0.65/$B$9</f>
        <v>0.33421469724777697</v>
      </c>
      <c r="E25" s="5">
        <f>1400*(E21/1000)^0.65/$B$9</f>
        <v>9.1651062527298457</v>
      </c>
      <c r="F25" s="9">
        <f>1400*(F21/1000)^0.65/$B$9</f>
        <v>356.63529455770475</v>
      </c>
    </row>
    <row r="26" spans="1:16" x14ac:dyDescent="0.25">
      <c r="A26" s="8" t="s">
        <v>207</v>
      </c>
      <c r="B26" s="60"/>
      <c r="C26" s="5">
        <f>(0.00092*(C21/1000)^0.85*EXP(0.06*$B$8))*24</f>
        <v>6.6956332223001468E-8</v>
      </c>
      <c r="D26" s="5">
        <f t="shared" ref="D26:F26" si="2">(0.00092*(D21/1000)^0.85*EXP(0.06*$B$8))*24</f>
        <v>2.0394859171163713E-5</v>
      </c>
      <c r="E26" s="5">
        <f t="shared" si="2"/>
        <v>1.549275518932026E-3</v>
      </c>
      <c r="F26" s="9">
        <f t="shared" si="2"/>
        <v>0.1859828752081269</v>
      </c>
    </row>
    <row r="27" spans="1:16" x14ac:dyDescent="0.25">
      <c r="A27" s="8"/>
      <c r="B27" s="5"/>
      <c r="C27" s="5"/>
      <c r="D27" s="5"/>
      <c r="E27" s="5"/>
      <c r="F27" s="9"/>
    </row>
    <row r="28" spans="1:16" x14ac:dyDescent="0.25">
      <c r="A28" s="8" t="s">
        <v>83</v>
      </c>
      <c r="B28" s="5"/>
      <c r="C28" s="5">
        <f>C23*C25*1000/C21</f>
        <v>29017.553228980418</v>
      </c>
      <c r="D28" s="5">
        <f>D23*D25*1000/D21</f>
        <v>2753.9041838855046</v>
      </c>
      <c r="E28" s="5">
        <f>E23*E25*1000/E21</f>
        <v>462.99984693439012</v>
      </c>
      <c r="F28" s="9">
        <f>F23*F25*1000/F21</f>
        <v>64.473352556015229</v>
      </c>
      <c r="I28" s="23"/>
      <c r="J28" s="23"/>
      <c r="K28" s="23"/>
    </row>
    <row r="29" spans="1:16" x14ac:dyDescent="0.25">
      <c r="A29" s="8" t="s">
        <v>84</v>
      </c>
      <c r="B29" s="5"/>
      <c r="C29" s="5">
        <f>C24*C26*1000/C21</f>
        <v>0.37084642097042347</v>
      </c>
      <c r="D29" s="5">
        <f>D24*D26*1000/D21</f>
        <v>0.13517269251004427</v>
      </c>
      <c r="E29" s="5">
        <f>E24*E26*1000/E21</f>
        <v>6.2953078680731328E-2</v>
      </c>
      <c r="F29" s="9">
        <f>F24*F26*1000/F21</f>
        <v>2.7044182766444231E-2</v>
      </c>
      <c r="H29" s="23"/>
      <c r="I29" s="23"/>
      <c r="J29" s="23"/>
      <c r="K29" s="23"/>
    </row>
    <row r="30" spans="1:16" x14ac:dyDescent="0.25">
      <c r="A30" s="28" t="s">
        <v>85</v>
      </c>
      <c r="B30" s="27">
        <f>B21*$B$5*B28</f>
        <v>0</v>
      </c>
      <c r="C30" s="27">
        <f>C21*$B$5*C28/10^6</f>
        <v>2.2778779284749628E-8</v>
      </c>
      <c r="D30" s="27">
        <f>D21*$B$5*D28/10^6</f>
        <v>1.8065611446288907E-6</v>
      </c>
      <c r="E30" s="27">
        <f>E21*$B$5*E28/10^6</f>
        <v>4.9540983621979741E-5</v>
      </c>
      <c r="F30" s="32">
        <f>F21*$B$5*F28/10^6</f>
        <v>1.9277532414248555E-3</v>
      </c>
      <c r="H30" s="23"/>
    </row>
    <row r="31" spans="1:16" x14ac:dyDescent="0.25">
      <c r="A31" s="28" t="s">
        <v>86</v>
      </c>
      <c r="B31" s="27">
        <f>0</f>
        <v>0</v>
      </c>
      <c r="C31" s="27">
        <f>C29*C20*C21/10^6</f>
        <v>4.6029234581235757E-7</v>
      </c>
      <c r="D31" s="27">
        <f>D29*D20*D21/10^6</f>
        <v>1.4020477613889824E-4</v>
      </c>
      <c r="E31" s="27">
        <f>E29*E20*E21/10^6</f>
        <v>1.0650518617773127E-2</v>
      </c>
      <c r="F31" s="32">
        <f>F29*F20*F21/10^6</f>
        <v>1.2785421642475712</v>
      </c>
      <c r="H31" s="23"/>
      <c r="K31" s="101"/>
      <c r="O31" s="101"/>
    </row>
    <row r="32" spans="1:16" x14ac:dyDescent="0.25">
      <c r="A32" s="8"/>
      <c r="B32" s="5"/>
      <c r="C32" s="5"/>
      <c r="D32" s="5"/>
      <c r="E32" s="5"/>
      <c r="F32" s="9"/>
      <c r="H32" s="23"/>
    </row>
    <row r="33" spans="1:15" x14ac:dyDescent="0.25">
      <c r="A33" s="51" t="s">
        <v>87</v>
      </c>
      <c r="B33" s="49"/>
      <c r="C33" s="49">
        <f>$G$10</f>
        <v>0</v>
      </c>
      <c r="D33" s="49">
        <f t="shared" ref="D33:F33" si="3">$G$10</f>
        <v>0</v>
      </c>
      <c r="E33" s="49">
        <f t="shared" si="3"/>
        <v>0</v>
      </c>
      <c r="F33" s="50">
        <f t="shared" si="3"/>
        <v>0</v>
      </c>
      <c r="H33" s="23"/>
    </row>
    <row r="34" spans="1:15" x14ac:dyDescent="0.25">
      <c r="A34" s="8" t="s">
        <v>208</v>
      </c>
      <c r="B34" s="60"/>
      <c r="C34" s="5">
        <f>0.00586*(1.113)^($B$8-20)*C21^-0.2</f>
        <v>3.8808216521348367E-2</v>
      </c>
      <c r="D34" s="5">
        <f t="shared" ref="D34:F34" si="4">0.00586*(1.113)^($B$8-20)*D21^-0.2</f>
        <v>1.0104546996332531E-2</v>
      </c>
      <c r="E34" s="5">
        <f t="shared" si="4"/>
        <v>3.6477146758464806E-3</v>
      </c>
      <c r="F34" s="9">
        <f t="shared" si="4"/>
        <v>1.1823971611794541E-3</v>
      </c>
      <c r="H34" s="23"/>
    </row>
    <row r="35" spans="1:15" x14ac:dyDescent="0.25">
      <c r="A35" s="8" t="s">
        <v>88</v>
      </c>
      <c r="B35" s="5">
        <f>B$28/(B19*$B$7)</f>
        <v>0</v>
      </c>
      <c r="C35" s="5">
        <f>C$28/(C19*$B$7)</f>
        <v>1.8352312065750265E-2</v>
      </c>
      <c r="D35" s="5">
        <f>D$28/(D19*$B$7)</f>
        <v>1.7417219357890674E-3</v>
      </c>
      <c r="E35" s="5">
        <f>E$28/(E19*$B$7)</f>
        <v>2.9282681452439931E-4</v>
      </c>
      <c r="F35" s="9">
        <f>F$28/(F19*$B$7)</f>
        <v>4.0776528492809246E-5</v>
      </c>
      <c r="H35" s="23"/>
    </row>
    <row r="36" spans="1:15" x14ac:dyDescent="0.25">
      <c r="A36" s="8" t="s">
        <v>89</v>
      </c>
      <c r="B36" s="5"/>
      <c r="C36" s="5">
        <f t="shared" ref="C36:F36" si="5">C29/C22</f>
        <v>5.2978060138631926E-2</v>
      </c>
      <c r="D36" s="5">
        <f t="shared" si="5"/>
        <v>1.931038464429204E-2</v>
      </c>
      <c r="E36" s="5">
        <f t="shared" si="5"/>
        <v>8.9932969543901897E-3</v>
      </c>
      <c r="F36" s="9">
        <f t="shared" si="5"/>
        <v>3.8634546809206043E-3</v>
      </c>
      <c r="H36" s="23"/>
    </row>
    <row r="37" spans="1:15" x14ac:dyDescent="0.25">
      <c r="A37" s="8" t="s">
        <v>90</v>
      </c>
      <c r="B37" s="5"/>
      <c r="C37" s="5">
        <f t="shared" ref="C37:F37" si="6">C33+C34+C35+C36</f>
        <v>0.11013858872573057</v>
      </c>
      <c r="D37" s="5">
        <f t="shared" si="6"/>
        <v>3.1156653576413638E-2</v>
      </c>
      <c r="E37" s="5">
        <f t="shared" si="6"/>
        <v>1.293383844476107E-2</v>
      </c>
      <c r="F37" s="9">
        <f t="shared" si="6"/>
        <v>5.0866283705928673E-3</v>
      </c>
      <c r="H37" s="23"/>
    </row>
    <row r="38" spans="1:15" x14ac:dyDescent="0.25">
      <c r="A38" s="8" t="s">
        <v>68</v>
      </c>
      <c r="B38" s="5"/>
      <c r="C38" s="5">
        <f>0.693/C37</f>
        <v>6.2920726333775994</v>
      </c>
      <c r="D38" s="5">
        <f t="shared" ref="D38:F38" si="7">0.693/D37</f>
        <v>22.242440071440093</v>
      </c>
      <c r="E38" s="5">
        <f t="shared" si="7"/>
        <v>53.580381644607897</v>
      </c>
      <c r="F38" s="9">
        <f t="shared" si="7"/>
        <v>136.23955781916655</v>
      </c>
      <c r="H38" s="23"/>
      <c r="I38" s="97"/>
      <c r="J38" s="97"/>
      <c r="K38" s="101"/>
      <c r="O38" s="101"/>
    </row>
    <row r="39" spans="1:15" x14ac:dyDescent="0.25">
      <c r="A39" s="28" t="s">
        <v>13</v>
      </c>
      <c r="B39" s="27">
        <f>B21*B20*B33</f>
        <v>0</v>
      </c>
      <c r="C39" s="27">
        <f>C21*C20*C33/10^6</f>
        <v>0</v>
      </c>
      <c r="D39" s="27">
        <f>D21*D20*D33/10^6</f>
        <v>0</v>
      </c>
      <c r="E39" s="27">
        <f>E21*E20*E33/10^6</f>
        <v>0</v>
      </c>
      <c r="F39" s="32">
        <f>F21*F20*F33/10^6</f>
        <v>0</v>
      </c>
      <c r="H39" s="23"/>
      <c r="I39" s="97"/>
      <c r="J39" s="97"/>
    </row>
    <row r="40" spans="1:15" x14ac:dyDescent="0.25">
      <c r="A40" s="28" t="s">
        <v>91</v>
      </c>
      <c r="B40" s="27">
        <f>B21*B20*B34/10^6</f>
        <v>0</v>
      </c>
      <c r="C40" s="27">
        <f>C21*C20*C34/10^6</f>
        <v>4.8168524783551805E-8</v>
      </c>
      <c r="D40" s="27">
        <f>D21*D20*D34/10^6</f>
        <v>1.0480709700300658E-5</v>
      </c>
      <c r="E40" s="27">
        <f>E21*E20*E34/10^6</f>
        <v>6.17127134710227E-4</v>
      </c>
      <c r="F40" s="32">
        <f>F21*F20*F34/10^6</f>
        <v>5.5899068517252425E-2</v>
      </c>
      <c r="H40" s="23"/>
      <c r="M40" s="97"/>
      <c r="N40" s="97"/>
    </row>
    <row r="41" spans="1:15" x14ac:dyDescent="0.25">
      <c r="A41" s="28" t="s">
        <v>92</v>
      </c>
      <c r="B41" s="27">
        <f>B21*B20*B35</f>
        <v>0</v>
      </c>
      <c r="C41" s="27">
        <f>C21*C20*C35/10^6</f>
        <v>2.2778779284749628E-8</v>
      </c>
      <c r="D41" s="27">
        <f>D21*D20*D35/10^6</f>
        <v>1.8065611446288907E-6</v>
      </c>
      <c r="E41" s="27">
        <f>E21*E20*E35/10^6</f>
        <v>4.9540983621979741E-5</v>
      </c>
      <c r="F41" s="32">
        <f>F21*F20*F35/10^6</f>
        <v>1.9277532414248553E-3</v>
      </c>
      <c r="H41" s="23"/>
    </row>
    <row r="42" spans="1:15" x14ac:dyDescent="0.25">
      <c r="A42" s="28" t="s">
        <v>93</v>
      </c>
      <c r="B42" s="27">
        <f>B21*B20*B36</f>
        <v>0</v>
      </c>
      <c r="C42" s="27">
        <f>C21*C20*C36/10^6</f>
        <v>6.5756049401765371E-8</v>
      </c>
      <c r="D42" s="27">
        <f>D21*D20*D36/10^6</f>
        <v>2.0029253734128317E-5</v>
      </c>
      <c r="E42" s="27">
        <f>E21*E20*E36/10^6</f>
        <v>1.521502659681875E-3</v>
      </c>
      <c r="F42" s="32">
        <f>F21*F20*F36/10^6</f>
        <v>0.18264888060679588</v>
      </c>
      <c r="H42" s="23"/>
      <c r="M42" s="97"/>
      <c r="N42" s="97"/>
    </row>
    <row r="43" spans="1:15" x14ac:dyDescent="0.25">
      <c r="A43" s="28" t="s">
        <v>94</v>
      </c>
      <c r="B43" s="27">
        <f>B21*B20*B37</f>
        <v>0</v>
      </c>
      <c r="C43" s="27">
        <f>C21*C20*C37/10^6</f>
        <v>1.3670335347006682E-7</v>
      </c>
      <c r="D43" s="27">
        <f>D21*D20*D37/10^6</f>
        <v>3.2316524579057859E-5</v>
      </c>
      <c r="E43" s="27">
        <f>E21*E20*E37/10^6</f>
        <v>2.1881707780140817E-3</v>
      </c>
      <c r="F43" s="32">
        <f>F21*F20*F37/10^6</f>
        <v>0.24047570236547311</v>
      </c>
      <c r="H43" s="23"/>
    </row>
    <row r="44" spans="1:15" ht="15.75" thickBot="1" x14ac:dyDescent="0.3">
      <c r="A44" s="10" t="s">
        <v>5</v>
      </c>
      <c r="B44" s="11">
        <f>B19*$B$7</f>
        <v>1581138.8300841944</v>
      </c>
      <c r="C44" s="11">
        <f t="shared" ref="C44:F44" si="8">C19*$B$7</f>
        <v>1581138.8300841944</v>
      </c>
      <c r="D44" s="11">
        <f t="shared" si="8"/>
        <v>1581138.8300841944</v>
      </c>
      <c r="E44" s="11">
        <f t="shared" si="8"/>
        <v>1581138.8300841944</v>
      </c>
      <c r="F44" s="12">
        <f t="shared" si="8"/>
        <v>1581138.8300841944</v>
      </c>
      <c r="H44" s="23"/>
    </row>
    <row r="45" spans="1:15" ht="15.75" thickBot="1" x14ac:dyDescent="0.3">
      <c r="H45" s="23"/>
      <c r="I45" s="97"/>
      <c r="J45" s="97"/>
      <c r="K45" s="101"/>
      <c r="O45" s="101"/>
    </row>
    <row r="46" spans="1:15" x14ac:dyDescent="0.25">
      <c r="A46" s="21" t="str">
        <f>B17</f>
        <v>Phytoplankton</v>
      </c>
      <c r="B46" s="89" t="s">
        <v>161</v>
      </c>
      <c r="C46" s="90">
        <f>B18</f>
        <v>1</v>
      </c>
      <c r="D46" s="7"/>
      <c r="H46" s="23"/>
      <c r="I46" s="97"/>
      <c r="J46" s="97"/>
    </row>
    <row r="47" spans="1:15" x14ac:dyDescent="0.25">
      <c r="A47" s="22" t="s">
        <v>169</v>
      </c>
      <c r="B47" s="5">
        <f>B10*B44</f>
        <v>1581138.8300841944</v>
      </c>
      <c r="C47" s="5"/>
      <c r="D47" s="9"/>
      <c r="E47" s="1"/>
      <c r="H47" s="23"/>
      <c r="M47" s="97"/>
      <c r="N47" s="97"/>
    </row>
    <row r="48" spans="1:15" x14ac:dyDescent="0.25">
      <c r="A48" s="24" t="s">
        <v>18</v>
      </c>
      <c r="B48" s="5">
        <f>B47/B19</f>
        <v>31622776.601683889</v>
      </c>
      <c r="C48" s="19" t="s">
        <v>96</v>
      </c>
      <c r="D48" s="124">
        <f>1</f>
        <v>1</v>
      </c>
      <c r="E48" s="1"/>
      <c r="H48" s="23"/>
    </row>
    <row r="49" spans="1:14" x14ac:dyDescent="0.25">
      <c r="A49" s="24" t="s">
        <v>20</v>
      </c>
      <c r="B49" s="5">
        <f>B47/B4</f>
        <v>15811.388300841943</v>
      </c>
      <c r="C49" s="5"/>
      <c r="D49" s="15"/>
      <c r="E49" s="1"/>
      <c r="H49" s="23"/>
      <c r="M49" s="97"/>
      <c r="N49" s="97"/>
    </row>
    <row r="50" spans="1:14" ht="15.75" thickBot="1" x14ac:dyDescent="0.3">
      <c r="A50" s="25" t="s">
        <v>19</v>
      </c>
      <c r="B50" s="26">
        <f>B49/B20</f>
        <v>0.99999999999999989</v>
      </c>
      <c r="C50" s="11"/>
      <c r="D50" s="12"/>
      <c r="H50" s="23"/>
      <c r="I50" s="23"/>
      <c r="J50" s="23"/>
      <c r="K50" s="23"/>
    </row>
    <row r="51" spans="1:14" x14ac:dyDescent="0.25">
      <c r="A51" s="21" t="str">
        <f>C17</f>
        <v>Zooplankton</v>
      </c>
      <c r="B51" s="89" t="s">
        <v>161</v>
      </c>
      <c r="C51" s="90">
        <f>C18</f>
        <v>2</v>
      </c>
      <c r="D51" s="7"/>
      <c r="H51" s="23"/>
      <c r="I51" s="23"/>
      <c r="J51" s="23"/>
      <c r="K51" s="23"/>
    </row>
    <row r="52" spans="1:14" x14ac:dyDescent="0.25">
      <c r="A52" s="8" t="s">
        <v>148</v>
      </c>
      <c r="B52" s="5">
        <f>D53*B47</f>
        <v>1581138.8300841944</v>
      </c>
      <c r="C52" s="5"/>
      <c r="D52" s="9"/>
      <c r="E52" s="1"/>
      <c r="F52" s="1"/>
      <c r="H52" s="23"/>
      <c r="I52" s="23"/>
      <c r="J52" s="23"/>
      <c r="K52" s="23"/>
    </row>
    <row r="53" spans="1:14" x14ac:dyDescent="0.25">
      <c r="A53" s="22" t="s">
        <v>163</v>
      </c>
      <c r="B53" s="5">
        <f>(B10*C28+B52*C29)/C37</f>
        <v>5587299.0251899073</v>
      </c>
      <c r="C53" s="19" t="s">
        <v>101</v>
      </c>
      <c r="D53" s="132">
        <v>1</v>
      </c>
      <c r="E53" s="1"/>
      <c r="F53" s="1"/>
      <c r="H53" s="23"/>
      <c r="I53" s="23"/>
      <c r="J53" s="23"/>
      <c r="K53" s="23"/>
    </row>
    <row r="54" spans="1:14" x14ac:dyDescent="0.25">
      <c r="A54" s="8" t="s">
        <v>21</v>
      </c>
      <c r="B54" s="5">
        <f>B53/C19</f>
        <v>111745980.50379814</v>
      </c>
      <c r="C54" s="23" t="s">
        <v>97</v>
      </c>
      <c r="D54" s="15">
        <f>(D53*D48)+1</f>
        <v>2</v>
      </c>
      <c r="E54" s="1"/>
      <c r="F54" s="1"/>
      <c r="H54" s="23"/>
      <c r="I54" s="23"/>
      <c r="J54" s="23"/>
      <c r="K54" s="23"/>
    </row>
    <row r="55" spans="1:14" x14ac:dyDescent="0.25">
      <c r="A55" s="28" t="s">
        <v>22</v>
      </c>
      <c r="B55" s="27">
        <f>B53/B4</f>
        <v>55872.990251899071</v>
      </c>
      <c r="C55" s="5"/>
      <c r="D55" s="9"/>
      <c r="E55" s="1"/>
      <c r="F55" s="1"/>
      <c r="H55" s="23"/>
      <c r="I55" s="23"/>
      <c r="J55" s="23"/>
      <c r="K55" s="23"/>
    </row>
    <row r="56" spans="1:14" x14ac:dyDescent="0.25">
      <c r="A56" s="28" t="s">
        <v>139</v>
      </c>
      <c r="B56" s="54">
        <f>B55/C20</f>
        <v>3.5337181776077102</v>
      </c>
      <c r="C56" s="5"/>
      <c r="D56" s="9"/>
      <c r="E56" s="1"/>
      <c r="F56" s="105"/>
      <c r="H56" s="23"/>
      <c r="I56" s="23"/>
      <c r="J56" s="100"/>
      <c r="K56" s="23"/>
    </row>
    <row r="57" spans="1:14" x14ac:dyDescent="0.25">
      <c r="A57" s="8" t="s">
        <v>149</v>
      </c>
      <c r="B57" s="5">
        <f>B53/B10</f>
        <v>5587299.0251899073</v>
      </c>
      <c r="C57" s="5"/>
      <c r="D57" s="9"/>
      <c r="E57" s="1"/>
      <c r="F57" s="1"/>
      <c r="H57" s="23"/>
      <c r="I57" s="23"/>
      <c r="J57" s="100"/>
      <c r="K57" s="23"/>
    </row>
    <row r="58" spans="1:14" x14ac:dyDescent="0.25">
      <c r="A58" s="8" t="s">
        <v>176</v>
      </c>
      <c r="B58" s="5">
        <f>B53/B47</f>
        <v>3.5337181776077107</v>
      </c>
      <c r="C58" s="5"/>
      <c r="D58" s="9"/>
      <c r="E58" s="1"/>
      <c r="F58" s="1"/>
      <c r="H58" s="23"/>
      <c r="I58" s="23"/>
      <c r="J58" s="23"/>
      <c r="K58" s="23"/>
    </row>
    <row r="59" spans="1:14" ht="15.75" thickBot="1" x14ac:dyDescent="0.3">
      <c r="A59" s="10" t="s">
        <v>151</v>
      </c>
      <c r="B59" s="11">
        <f>B55/B49</f>
        <v>3.5337181776077107</v>
      </c>
      <c r="C59" s="11"/>
      <c r="D59" s="12"/>
      <c r="E59" s="1"/>
      <c r="F59" s="1"/>
      <c r="H59" s="23"/>
      <c r="I59" s="23"/>
      <c r="J59" s="23"/>
      <c r="K59" s="23"/>
    </row>
    <row r="60" spans="1:14" x14ac:dyDescent="0.25">
      <c r="A60" s="21" t="str">
        <f>D17</f>
        <v>Mysis</v>
      </c>
      <c r="B60" s="89" t="s">
        <v>161</v>
      </c>
      <c r="C60" s="90">
        <f>D18</f>
        <v>3</v>
      </c>
      <c r="D60" s="7"/>
      <c r="E60" s="1"/>
      <c r="F60" s="1"/>
      <c r="H60" s="23"/>
      <c r="I60" s="23"/>
      <c r="J60" s="23"/>
      <c r="K60" s="23"/>
    </row>
    <row r="61" spans="1:14" x14ac:dyDescent="0.25">
      <c r="A61" s="8" t="s">
        <v>205</v>
      </c>
      <c r="B61" s="5">
        <f>D62*B47+D63*B53</f>
        <v>5587299.0251899073</v>
      </c>
      <c r="C61" s="5"/>
      <c r="D61" s="9"/>
      <c r="E61" s="1"/>
      <c r="F61" s="1"/>
      <c r="G61" s="1"/>
    </row>
    <row r="62" spans="1:14" x14ac:dyDescent="0.25">
      <c r="A62" s="22" t="s">
        <v>164</v>
      </c>
      <c r="B62" s="5">
        <f>(B10*D28+B61*D29)/D37</f>
        <v>24328805.255625367</v>
      </c>
      <c r="C62" s="19" t="s">
        <v>101</v>
      </c>
      <c r="D62" s="132">
        <v>0</v>
      </c>
      <c r="E62" s="1"/>
      <c r="F62" s="1"/>
      <c r="G62" s="1"/>
    </row>
    <row r="63" spans="1:14" x14ac:dyDescent="0.25">
      <c r="A63" s="8" t="s">
        <v>14</v>
      </c>
      <c r="B63" s="5">
        <f>B62/D19</f>
        <v>486576105.11250734</v>
      </c>
      <c r="C63" s="19" t="s">
        <v>102</v>
      </c>
      <c r="D63" s="132">
        <v>1</v>
      </c>
      <c r="E63" s="1"/>
      <c r="F63" s="1"/>
      <c r="G63" s="1"/>
    </row>
    <row r="64" spans="1:14" x14ac:dyDescent="0.25">
      <c r="A64" s="28" t="s">
        <v>173</v>
      </c>
      <c r="B64" s="27">
        <f>B62/B4</f>
        <v>243288.05255625368</v>
      </c>
      <c r="C64" s="23" t="s">
        <v>98</v>
      </c>
      <c r="D64" s="15">
        <f>(D62*D48+D63*D54)+1</f>
        <v>3</v>
      </c>
      <c r="E64" s="1"/>
      <c r="F64" s="1"/>
      <c r="G64" s="1"/>
    </row>
    <row r="65" spans="1:13" x14ac:dyDescent="0.25">
      <c r="A65" s="73" t="s">
        <v>140</v>
      </c>
      <c r="B65" s="54">
        <f>B64/D20</f>
        <v>15.386887471690184</v>
      </c>
      <c r="C65" s="5"/>
      <c r="D65" s="15"/>
      <c r="E65" s="105"/>
      <c r="F65" s="105"/>
      <c r="G65" s="1"/>
    </row>
    <row r="66" spans="1:13" ht="15.75" x14ac:dyDescent="0.25">
      <c r="A66" s="8" t="s">
        <v>6</v>
      </c>
      <c r="B66" s="5">
        <f>B62/B10</f>
        <v>24328805.255625367</v>
      </c>
      <c r="C66" s="5"/>
      <c r="D66" s="9"/>
      <c r="E66" s="1"/>
      <c r="F66" s="1"/>
      <c r="G66" s="2"/>
    </row>
    <row r="67" spans="1:13" x14ac:dyDescent="0.25">
      <c r="A67" s="8" t="s">
        <v>177</v>
      </c>
      <c r="B67" s="5">
        <f>B62/B53</f>
        <v>4.3543052100739237</v>
      </c>
      <c r="C67" s="5"/>
      <c r="D67" s="9"/>
      <c r="E67" s="1"/>
      <c r="F67" s="1"/>
    </row>
    <row r="68" spans="1:13" ht="15.75" thickBot="1" x14ac:dyDescent="0.3">
      <c r="A68" s="10" t="s">
        <v>154</v>
      </c>
      <c r="B68" s="11">
        <f>B64/B55</f>
        <v>4.3543052100739237</v>
      </c>
      <c r="C68" s="11"/>
      <c r="D68" s="12"/>
      <c r="E68" s="1"/>
      <c r="F68" s="1"/>
    </row>
    <row r="69" spans="1:13" x14ac:dyDescent="0.25">
      <c r="A69" s="21" t="str">
        <f>E17</f>
        <v>Smelt</v>
      </c>
      <c r="B69" s="89" t="s">
        <v>161</v>
      </c>
      <c r="C69" s="90">
        <f>E18</f>
        <v>6</v>
      </c>
      <c r="D69" s="7"/>
      <c r="E69" s="1"/>
      <c r="F69" s="1"/>
    </row>
    <row r="70" spans="1:13" x14ac:dyDescent="0.25">
      <c r="A70" s="8" t="s">
        <v>178</v>
      </c>
      <c r="B70" s="5">
        <f>D71*B47+D72*B53+D73*B62</f>
        <v>24328805.255625367</v>
      </c>
      <c r="C70" s="5"/>
      <c r="D70" s="9"/>
      <c r="E70" s="1"/>
      <c r="F70" s="1"/>
    </row>
    <row r="71" spans="1:13" x14ac:dyDescent="0.25">
      <c r="A71" s="22" t="s">
        <v>170</v>
      </c>
      <c r="B71" s="5">
        <f>(B10*E28+B70*E29)/E37</f>
        <v>118451780.40963304</v>
      </c>
      <c r="C71" s="19" t="s">
        <v>101</v>
      </c>
      <c r="D71" s="132">
        <v>0</v>
      </c>
      <c r="E71" s="1"/>
      <c r="F71" s="1"/>
    </row>
    <row r="72" spans="1:13" x14ac:dyDescent="0.25">
      <c r="A72" s="8" t="s">
        <v>179</v>
      </c>
      <c r="B72" s="5">
        <f>B71/E19</f>
        <v>2369035608.1926608</v>
      </c>
      <c r="C72" s="19" t="s">
        <v>102</v>
      </c>
      <c r="D72" s="132">
        <v>0</v>
      </c>
      <c r="E72" s="1"/>
      <c r="F72" s="1"/>
    </row>
    <row r="73" spans="1:13" x14ac:dyDescent="0.25">
      <c r="A73" s="28" t="s">
        <v>171</v>
      </c>
      <c r="B73" s="27">
        <f>B71/B4</f>
        <v>1184517.8040963304</v>
      </c>
      <c r="C73" s="19" t="s">
        <v>103</v>
      </c>
      <c r="D73" s="132">
        <v>1</v>
      </c>
      <c r="E73" s="1"/>
      <c r="F73" s="1"/>
    </row>
    <row r="74" spans="1:13" x14ac:dyDescent="0.25">
      <c r="A74" s="28" t="s">
        <v>145</v>
      </c>
      <c r="B74" s="27">
        <f>B73/E20</f>
        <v>74.91548379931038</v>
      </c>
      <c r="C74" s="23" t="s">
        <v>99</v>
      </c>
      <c r="D74" s="15">
        <f>(D71*D48+D72*D54+D73*D64)+1</f>
        <v>4</v>
      </c>
      <c r="E74" s="1"/>
      <c r="F74" s="1"/>
    </row>
    <row r="75" spans="1:13" x14ac:dyDescent="0.25">
      <c r="A75" s="8" t="s">
        <v>9</v>
      </c>
      <c r="B75" s="5">
        <f>B71/B10</f>
        <v>118451780.40963304</v>
      </c>
      <c r="C75" s="5"/>
      <c r="D75" s="9"/>
      <c r="E75" s="1"/>
      <c r="F75" s="1"/>
    </row>
    <row r="76" spans="1:13" x14ac:dyDescent="0.25">
      <c r="A76" s="8" t="s">
        <v>180</v>
      </c>
      <c r="B76" s="5">
        <f>B71/B62</f>
        <v>4.8687873968757396</v>
      </c>
      <c r="C76" s="5"/>
      <c r="D76" s="9"/>
      <c r="E76" s="1"/>
      <c r="F76" s="1"/>
    </row>
    <row r="77" spans="1:13" ht="15.75" thickBot="1" x14ac:dyDescent="0.3">
      <c r="A77" s="10" t="s">
        <v>181</v>
      </c>
      <c r="B77" s="11">
        <f>B72/B63</f>
        <v>4.8687873968757396</v>
      </c>
      <c r="C77" s="11"/>
      <c r="D77" s="12"/>
      <c r="E77" s="1"/>
      <c r="F77" s="1"/>
    </row>
    <row r="78" spans="1:13" x14ac:dyDescent="0.25">
      <c r="A78" s="21" t="str">
        <f>F17</f>
        <v>Trout</v>
      </c>
      <c r="B78" s="89" t="s">
        <v>161</v>
      </c>
      <c r="C78" s="90">
        <f>F18</f>
        <v>7</v>
      </c>
      <c r="D78" s="7"/>
      <c r="E78" s="1"/>
      <c r="F78" s="23"/>
      <c r="G78" s="23"/>
      <c r="H78" s="23"/>
      <c r="I78" s="23"/>
      <c r="J78" s="23"/>
      <c r="K78" s="23"/>
      <c r="L78" s="23"/>
      <c r="M78" s="23"/>
    </row>
    <row r="79" spans="1:13" x14ac:dyDescent="0.25">
      <c r="A79" s="8" t="s">
        <v>182</v>
      </c>
      <c r="B79" s="5">
        <f>D80*B47+D81*B53+D82*B62+D83*B71</f>
        <v>118451780.40963304</v>
      </c>
      <c r="C79" s="5"/>
      <c r="D79" s="9"/>
      <c r="E79" s="1"/>
      <c r="F79" s="107"/>
      <c r="G79" s="23"/>
      <c r="H79" s="23"/>
      <c r="I79" s="107"/>
      <c r="J79" s="23"/>
      <c r="K79" s="23"/>
      <c r="L79" s="23"/>
      <c r="M79" s="23"/>
    </row>
    <row r="80" spans="1:13" x14ac:dyDescent="0.25">
      <c r="A80" s="22" t="s">
        <v>168</v>
      </c>
      <c r="B80">
        <f>(B79*F29+F28*B10)/F37</f>
        <v>629787717.59337509</v>
      </c>
      <c r="C80" s="19" t="s">
        <v>101</v>
      </c>
      <c r="D80" s="132">
        <v>0</v>
      </c>
      <c r="E80" s="1"/>
      <c r="F80" s="23"/>
      <c r="G80" s="23"/>
      <c r="H80" s="23"/>
      <c r="I80" s="23"/>
      <c r="J80" s="23"/>
      <c r="K80" s="23"/>
      <c r="L80" s="23"/>
      <c r="M80" s="23"/>
    </row>
    <row r="81" spans="1:13" x14ac:dyDescent="0.25">
      <c r="A81" s="8" t="s">
        <v>121</v>
      </c>
      <c r="B81" s="5">
        <f>B80/F19</f>
        <v>12595754351.8675</v>
      </c>
      <c r="C81" s="19" t="s">
        <v>102</v>
      </c>
      <c r="D81" s="132">
        <v>0</v>
      </c>
      <c r="E81" s="1"/>
      <c r="F81" s="23"/>
      <c r="G81" s="23"/>
      <c r="H81" s="23"/>
      <c r="I81" s="23"/>
      <c r="J81" s="23"/>
      <c r="K81" s="23"/>
      <c r="L81" s="23"/>
      <c r="M81" s="23"/>
    </row>
    <row r="82" spans="1:13" x14ac:dyDescent="0.25">
      <c r="A82" s="28" t="s">
        <v>183</v>
      </c>
      <c r="B82" s="27">
        <f>B80/B4</f>
        <v>6297877.1759337513</v>
      </c>
      <c r="C82" s="19" t="s">
        <v>103</v>
      </c>
      <c r="D82" s="132">
        <v>0</v>
      </c>
      <c r="E82" s="1"/>
      <c r="F82" s="23"/>
      <c r="G82" s="23"/>
      <c r="H82" s="23"/>
      <c r="I82" s="23"/>
      <c r="J82" s="23"/>
      <c r="K82" s="23"/>
      <c r="L82" s="23"/>
      <c r="M82" s="23"/>
    </row>
    <row r="83" spans="1:13" x14ac:dyDescent="0.25">
      <c r="A83" s="28" t="s">
        <v>146</v>
      </c>
      <c r="B83" s="27">
        <f>B82/F20</f>
        <v>398.31272599879122</v>
      </c>
      <c r="C83" s="19" t="s">
        <v>104</v>
      </c>
      <c r="D83" s="132">
        <v>1</v>
      </c>
      <c r="E83" s="1"/>
      <c r="F83" s="1"/>
    </row>
    <row r="84" spans="1:13" x14ac:dyDescent="0.25">
      <c r="A84" s="8" t="s">
        <v>123</v>
      </c>
      <c r="B84" s="5">
        <f>B80/B10</f>
        <v>629787717.59337509</v>
      </c>
      <c r="C84" s="23" t="s">
        <v>100</v>
      </c>
      <c r="D84" s="15">
        <f>(D80*D48+D81*D54+D82*D64+D83*D74)+1</f>
        <v>5</v>
      </c>
      <c r="E84" s="1"/>
      <c r="F84" s="1"/>
    </row>
    <row r="85" spans="1:13" x14ac:dyDescent="0.25">
      <c r="A85" s="8" t="s">
        <v>184</v>
      </c>
      <c r="B85" s="5">
        <f>B80/B71</f>
        <v>5.3168277877751331</v>
      </c>
      <c r="C85" s="5"/>
      <c r="D85" s="9"/>
      <c r="E85" s="1"/>
      <c r="F85" s="1"/>
    </row>
    <row r="86" spans="1:13" ht="15.75" thickBot="1" x14ac:dyDescent="0.3">
      <c r="A86" s="10" t="s">
        <v>125</v>
      </c>
      <c r="B86" s="11">
        <f>B82/B73</f>
        <v>5.3168277877751331</v>
      </c>
      <c r="C86" s="11"/>
      <c r="D86" s="12"/>
      <c r="E86" s="1"/>
      <c r="F86" s="1"/>
    </row>
    <row r="87" spans="1:13" ht="15.75" thickBot="1" x14ac:dyDescent="0.3"/>
    <row r="88" spans="1:13" x14ac:dyDescent="0.25">
      <c r="A88" s="13" t="s">
        <v>30</v>
      </c>
      <c r="B88" s="6"/>
      <c r="C88" s="6"/>
      <c r="D88" s="6"/>
      <c r="E88" s="6"/>
      <c r="F88" s="6"/>
      <c r="G88" s="7"/>
    </row>
    <row r="89" spans="1:13" x14ac:dyDescent="0.25">
      <c r="A89" s="8"/>
      <c r="B89" s="34" t="s">
        <v>31</v>
      </c>
      <c r="C89" s="34" t="s">
        <v>34</v>
      </c>
      <c r="D89" s="34" t="s">
        <v>51</v>
      </c>
      <c r="E89" s="34" t="s">
        <v>36</v>
      </c>
      <c r="F89" s="34" t="s">
        <v>37</v>
      </c>
      <c r="G89" s="35" t="s">
        <v>38</v>
      </c>
    </row>
    <row r="90" spans="1:13" x14ac:dyDescent="0.25">
      <c r="A90" s="8"/>
      <c r="B90" s="5">
        <f>B18</f>
        <v>1</v>
      </c>
      <c r="C90" s="5">
        <f>B47</f>
        <v>1581138.8300841944</v>
      </c>
      <c r="D90" s="5">
        <f>B48</f>
        <v>31622776.601683889</v>
      </c>
      <c r="E90" s="5">
        <f>B49</f>
        <v>15811.388300841943</v>
      </c>
      <c r="F90" s="5">
        <f>B50</f>
        <v>0.99999999999999989</v>
      </c>
      <c r="G90" s="9">
        <f>D48</f>
        <v>1</v>
      </c>
    </row>
    <row r="91" spans="1:13" x14ac:dyDescent="0.25">
      <c r="A91" s="8"/>
      <c r="B91" s="5">
        <f>C18</f>
        <v>2</v>
      </c>
      <c r="C91" s="5">
        <f>B53</f>
        <v>5587299.0251899073</v>
      </c>
      <c r="D91" s="5">
        <f>B54</f>
        <v>111745980.50379814</v>
      </c>
      <c r="E91" s="5">
        <f>B55</f>
        <v>55872.990251899071</v>
      </c>
      <c r="F91" s="5">
        <f>B56</f>
        <v>3.5337181776077102</v>
      </c>
      <c r="G91" s="9">
        <f>D54</f>
        <v>2</v>
      </c>
    </row>
    <row r="92" spans="1:13" x14ac:dyDescent="0.25">
      <c r="A92" s="8"/>
      <c r="B92" s="5">
        <f>D18</f>
        <v>3</v>
      </c>
      <c r="C92" s="5">
        <f>B62</f>
        <v>24328805.255625367</v>
      </c>
      <c r="D92" s="5">
        <f>B63</f>
        <v>486576105.11250734</v>
      </c>
      <c r="E92" s="5">
        <f>B64</f>
        <v>243288.05255625368</v>
      </c>
      <c r="F92" s="5">
        <f>B65</f>
        <v>15.386887471690184</v>
      </c>
      <c r="G92" s="9">
        <f>D64</f>
        <v>3</v>
      </c>
    </row>
    <row r="93" spans="1:13" x14ac:dyDescent="0.25">
      <c r="A93" s="8"/>
      <c r="B93" s="5">
        <f>E18</f>
        <v>6</v>
      </c>
      <c r="C93" s="5">
        <f>B71</f>
        <v>118451780.40963304</v>
      </c>
      <c r="D93" s="5">
        <f>B72</f>
        <v>2369035608.1926608</v>
      </c>
      <c r="E93" s="5">
        <f>B73</f>
        <v>1184517.8040963304</v>
      </c>
      <c r="F93" s="5">
        <f>B74</f>
        <v>74.91548379931038</v>
      </c>
      <c r="G93" s="9">
        <f>D74</f>
        <v>4</v>
      </c>
    </row>
    <row r="94" spans="1:13" x14ac:dyDescent="0.25">
      <c r="A94" s="8"/>
      <c r="B94" s="5">
        <f>F18</f>
        <v>7</v>
      </c>
      <c r="C94" s="5">
        <f>B80</f>
        <v>629787717.59337509</v>
      </c>
      <c r="D94" s="5">
        <f>B81</f>
        <v>12595754351.8675</v>
      </c>
      <c r="E94" s="5">
        <f>B82</f>
        <v>6297877.1759337513</v>
      </c>
      <c r="F94" s="5">
        <f>B83</f>
        <v>398.31272599879122</v>
      </c>
      <c r="G94" s="9">
        <f>D84</f>
        <v>5</v>
      </c>
    </row>
    <row r="95" spans="1:13" x14ac:dyDescent="0.25">
      <c r="A95" s="8"/>
      <c r="B95" s="5"/>
      <c r="C95" s="5"/>
      <c r="D95" s="5"/>
      <c r="E95" s="5"/>
      <c r="F95" s="5"/>
      <c r="G95" s="9"/>
    </row>
    <row r="96" spans="1:13" ht="15.75" thickBot="1" x14ac:dyDescent="0.3">
      <c r="A96" s="8"/>
      <c r="B96" s="5" t="s">
        <v>32</v>
      </c>
      <c r="C96" s="5">
        <f>B10</f>
        <v>1</v>
      </c>
      <c r="D96" s="5"/>
      <c r="E96" s="5">
        <f>B11</f>
        <v>0.01</v>
      </c>
      <c r="F96" s="5">
        <f>B12</f>
        <v>1</v>
      </c>
      <c r="G96" s="9"/>
    </row>
    <row r="97" spans="1:9" x14ac:dyDescent="0.25">
      <c r="A97" s="13" t="s">
        <v>39</v>
      </c>
      <c r="B97" s="6"/>
      <c r="C97" s="6"/>
      <c r="D97" s="6"/>
      <c r="E97" s="6"/>
      <c r="F97" s="6"/>
      <c r="G97" s="7"/>
    </row>
    <row r="98" spans="1:9" x14ac:dyDescent="0.25">
      <c r="A98" s="8"/>
      <c r="B98" s="34" t="s">
        <v>31</v>
      </c>
      <c r="C98" s="34" t="s">
        <v>34</v>
      </c>
      <c r="D98" s="34" t="s">
        <v>35</v>
      </c>
      <c r="E98" s="34" t="s">
        <v>36</v>
      </c>
      <c r="F98" s="34" t="s">
        <v>37</v>
      </c>
      <c r="G98" s="35" t="s">
        <v>44</v>
      </c>
    </row>
    <row r="99" spans="1:9" x14ac:dyDescent="0.25">
      <c r="A99" s="8"/>
      <c r="B99" s="5">
        <f>B90</f>
        <v>1</v>
      </c>
      <c r="C99" s="5">
        <f>LOG(C90)</f>
        <v>6.1989700043360205</v>
      </c>
      <c r="D99" s="5">
        <f>LOG(D90)</f>
        <v>7.5000000000000009</v>
      </c>
      <c r="E99" s="5">
        <f>LOG(E90)</f>
        <v>4.1989700043360205</v>
      </c>
      <c r="F99" s="5">
        <f>LOG(F90)</f>
        <v>-4.821637332766436E-17</v>
      </c>
      <c r="G99" s="9">
        <f>F99/G90</f>
        <v>-4.821637332766436E-17</v>
      </c>
    </row>
    <row r="100" spans="1:9" x14ac:dyDescent="0.25">
      <c r="A100" s="8"/>
      <c r="B100" s="5">
        <f t="shared" ref="B100:B103" si="9">B91</f>
        <v>2</v>
      </c>
      <c r="C100" s="5">
        <f t="shared" ref="C100:F103" si="10">LOG(C91)</f>
        <v>6.7472019148745295</v>
      </c>
      <c r="D100" s="5">
        <f t="shared" si="10"/>
        <v>8.0482319105385116</v>
      </c>
      <c r="E100" s="5">
        <f t="shared" si="10"/>
        <v>4.7472019148745295</v>
      </c>
      <c r="F100" s="5">
        <f t="shared" si="10"/>
        <v>0.54823191053850973</v>
      </c>
      <c r="G100" s="9">
        <f>F100/G91</f>
        <v>0.27411595526925486</v>
      </c>
    </row>
    <row r="101" spans="1:9" x14ac:dyDescent="0.25">
      <c r="A101" s="8"/>
      <c r="B101" s="5">
        <f t="shared" si="9"/>
        <v>3</v>
      </c>
      <c r="C101" s="5">
        <f t="shared" si="10"/>
        <v>7.3861207820245545</v>
      </c>
      <c r="D101" s="5">
        <f t="shared" si="10"/>
        <v>8.6871507776885366</v>
      </c>
      <c r="E101" s="5">
        <f t="shared" si="10"/>
        <v>5.3861207820245545</v>
      </c>
      <c r="F101" s="5">
        <f t="shared" si="10"/>
        <v>1.1871507776885348</v>
      </c>
      <c r="G101" s="9">
        <f>F101/G92</f>
        <v>0.3957169258961783</v>
      </c>
    </row>
    <row r="102" spans="1:9" x14ac:dyDescent="0.25">
      <c r="A102" s="8"/>
      <c r="B102" s="5">
        <f t="shared" si="9"/>
        <v>6</v>
      </c>
      <c r="C102" s="5">
        <f t="shared" si="10"/>
        <v>8.0735415928449221</v>
      </c>
      <c r="D102" s="5">
        <f t="shared" si="10"/>
        <v>9.3745715885089034</v>
      </c>
      <c r="E102" s="5">
        <f t="shared" si="10"/>
        <v>6.0735415928449221</v>
      </c>
      <c r="F102" s="5">
        <f t="shared" si="10"/>
        <v>1.8745715885089023</v>
      </c>
      <c r="G102" s="9">
        <f>F102/G93</f>
        <v>0.46864289712722557</v>
      </c>
    </row>
    <row r="103" spans="1:9" ht="15.75" thickBot="1" x14ac:dyDescent="0.3">
      <c r="A103" s="10"/>
      <c r="B103" s="11">
        <f t="shared" si="9"/>
        <v>7</v>
      </c>
      <c r="C103" s="11">
        <f t="shared" si="10"/>
        <v>8.7991941865745229</v>
      </c>
      <c r="D103" s="11">
        <f t="shared" si="10"/>
        <v>10.100224182238504</v>
      </c>
      <c r="E103" s="11">
        <f t="shared" si="10"/>
        <v>6.7991941865745229</v>
      </c>
      <c r="F103" s="11">
        <f>LOG(F94)</f>
        <v>2.6002241822385028</v>
      </c>
      <c r="G103" s="12">
        <f>F103/G94</f>
        <v>0.52004483644770061</v>
      </c>
    </row>
    <row r="104" spans="1:9" x14ac:dyDescent="0.25">
      <c r="A104" s="40" t="s">
        <v>126</v>
      </c>
      <c r="B104" s="3" t="s">
        <v>127</v>
      </c>
      <c r="C104" s="5"/>
      <c r="D104" s="5"/>
      <c r="E104" s="5"/>
      <c r="F104" s="5"/>
      <c r="G104" s="9"/>
    </row>
    <row r="105" spans="1:9" x14ac:dyDescent="0.25">
      <c r="A105" s="8"/>
      <c r="B105" s="34" t="s">
        <v>40</v>
      </c>
      <c r="C105" s="34">
        <v>2</v>
      </c>
      <c r="D105" s="34">
        <v>3</v>
      </c>
      <c r="E105" s="34">
        <v>4</v>
      </c>
      <c r="F105" s="34">
        <v>5</v>
      </c>
      <c r="G105" s="9"/>
    </row>
    <row r="106" spans="1:9" x14ac:dyDescent="0.25">
      <c r="A106" s="8" t="s">
        <v>42</v>
      </c>
      <c r="B106" s="34">
        <v>1</v>
      </c>
      <c r="C106" s="5">
        <f>D53</f>
        <v>1</v>
      </c>
      <c r="D106" s="5">
        <f>D62</f>
        <v>0</v>
      </c>
      <c r="E106" s="5">
        <f>D71</f>
        <v>0</v>
      </c>
      <c r="F106" s="5">
        <f>D80</f>
        <v>0</v>
      </c>
      <c r="G106" s="9"/>
    </row>
    <row r="107" spans="1:9" x14ac:dyDescent="0.25">
      <c r="A107" s="8" t="s">
        <v>43</v>
      </c>
      <c r="B107" s="34">
        <v>2</v>
      </c>
      <c r="C107" s="5"/>
      <c r="D107" s="5">
        <f>D63</f>
        <v>1</v>
      </c>
      <c r="E107" s="5">
        <f>D72</f>
        <v>0</v>
      </c>
      <c r="F107" s="5">
        <f>D81</f>
        <v>0</v>
      </c>
      <c r="G107" s="9"/>
    </row>
    <row r="108" spans="1:9" x14ac:dyDescent="0.25">
      <c r="A108" s="8"/>
      <c r="B108" s="34">
        <v>3</v>
      </c>
      <c r="C108" s="5"/>
      <c r="D108" s="5"/>
      <c r="E108" s="5">
        <f>D73</f>
        <v>1</v>
      </c>
      <c r="F108" s="5">
        <f>D82</f>
        <v>0</v>
      </c>
      <c r="G108" s="9"/>
    </row>
    <row r="109" spans="1:9" x14ac:dyDescent="0.25">
      <c r="A109" s="8"/>
      <c r="B109" s="34">
        <v>4</v>
      </c>
      <c r="C109" s="5"/>
      <c r="D109" s="5"/>
      <c r="E109" s="5"/>
      <c r="F109" s="5">
        <f>D83</f>
        <v>1</v>
      </c>
      <c r="G109" s="9"/>
    </row>
    <row r="110" spans="1:9" x14ac:dyDescent="0.25">
      <c r="A110" s="8"/>
      <c r="B110" s="34">
        <v>5</v>
      </c>
      <c r="C110" s="5"/>
      <c r="D110" s="5"/>
      <c r="E110" s="5"/>
      <c r="F110" s="5"/>
      <c r="G110" s="9"/>
    </row>
    <row r="111" spans="1:9" ht="15.75" thickBot="1" x14ac:dyDescent="0.3">
      <c r="A111" s="10"/>
      <c r="B111" s="11" t="s">
        <v>41</v>
      </c>
      <c r="C111" s="11">
        <f>SUM(C106:C110)</f>
        <v>1</v>
      </c>
      <c r="D111" s="11">
        <f>SUM(D106:D110)</f>
        <v>1</v>
      </c>
      <c r="E111" s="11">
        <f>SUM(E106:E110)</f>
        <v>1</v>
      </c>
      <c r="F111" s="11">
        <f>SUM(F106:F110)</f>
        <v>1</v>
      </c>
      <c r="G111" s="12"/>
    </row>
    <row r="112" spans="1:9" x14ac:dyDescent="0.25">
      <c r="A112" s="13" t="s">
        <v>45</v>
      </c>
      <c r="B112" s="36" t="s">
        <v>46</v>
      </c>
      <c r="C112" s="36" t="s">
        <v>31</v>
      </c>
      <c r="D112" s="36" t="s">
        <v>52</v>
      </c>
      <c r="E112" s="36" t="s">
        <v>54</v>
      </c>
      <c r="F112" s="36" t="s">
        <v>53</v>
      </c>
      <c r="G112" s="42" t="s">
        <v>55</v>
      </c>
      <c r="H112" s="5"/>
      <c r="I112" s="5"/>
    </row>
    <row r="113" spans="1:9" x14ac:dyDescent="0.25">
      <c r="A113" s="8"/>
      <c r="B113" s="5">
        <f>B6</f>
        <v>7.5</v>
      </c>
      <c r="C113" s="5">
        <v>3</v>
      </c>
      <c r="D113" s="5">
        <f>C33</f>
        <v>0</v>
      </c>
      <c r="E113" s="5" t="e">
        <f>0.693/D113</f>
        <v>#DIV/0!</v>
      </c>
      <c r="F113" s="5">
        <f>C34</f>
        <v>3.8808216521348367E-2</v>
      </c>
      <c r="G113" s="9">
        <f>0.693/F113</f>
        <v>17.857043227399569</v>
      </c>
      <c r="H113" s="5"/>
      <c r="I113" s="5"/>
    </row>
    <row r="114" spans="1:9" x14ac:dyDescent="0.25">
      <c r="A114" s="8"/>
      <c r="B114" s="5"/>
      <c r="C114" s="5">
        <v>4</v>
      </c>
      <c r="D114" s="5">
        <f>D33</f>
        <v>0</v>
      </c>
      <c r="E114" s="5" t="e">
        <f>0.693/D114</f>
        <v>#DIV/0!</v>
      </c>
      <c r="F114" s="5">
        <f>D34</f>
        <v>1.0104546996332531E-2</v>
      </c>
      <c r="G114" s="9">
        <f>0.693/F114</f>
        <v>68.582985486783912</v>
      </c>
      <c r="H114" s="5"/>
      <c r="I114" s="5"/>
    </row>
    <row r="115" spans="1:9" x14ac:dyDescent="0.25">
      <c r="A115" s="8"/>
      <c r="B115" s="5"/>
      <c r="C115" s="5">
        <v>5</v>
      </c>
      <c r="D115" s="5">
        <f>E33</f>
        <v>0</v>
      </c>
      <c r="E115" s="5" t="e">
        <f>0.693/D115</f>
        <v>#DIV/0!</v>
      </c>
      <c r="F115" s="5">
        <f>E34</f>
        <v>3.6477146758464806E-3</v>
      </c>
      <c r="G115" s="9">
        <f>0.693/F115</f>
        <v>189.9819644855265</v>
      </c>
      <c r="H115" s="5"/>
      <c r="I115" s="5"/>
    </row>
    <row r="116" spans="1:9" ht="15.75" thickBot="1" x14ac:dyDescent="0.3">
      <c r="A116" s="10"/>
      <c r="B116" s="11"/>
      <c r="C116" s="11">
        <v>6</v>
      </c>
      <c r="D116" s="11">
        <f>F33</f>
        <v>0</v>
      </c>
      <c r="E116" s="11" t="e">
        <f>0.693/D116</f>
        <v>#DIV/0!</v>
      </c>
      <c r="F116" s="11">
        <f>F34</f>
        <v>1.1823971611794541E-3</v>
      </c>
      <c r="G116" s="12">
        <f>0.693/F116</f>
        <v>586.09748293773373</v>
      </c>
      <c r="H116" s="5"/>
      <c r="I116" s="5"/>
    </row>
    <row r="117" spans="1:9" x14ac:dyDescent="0.25">
      <c r="A117" s="44" t="s">
        <v>31</v>
      </c>
      <c r="B117" s="6">
        <f>B90</f>
        <v>1</v>
      </c>
      <c r="C117" s="6">
        <f>B91</f>
        <v>2</v>
      </c>
      <c r="D117" s="6">
        <f>B92</f>
        <v>3</v>
      </c>
      <c r="E117" s="6">
        <f>B93</f>
        <v>6</v>
      </c>
      <c r="F117" s="7">
        <f>B94</f>
        <v>7</v>
      </c>
      <c r="G117" s="41"/>
      <c r="H117" s="94"/>
    </row>
    <row r="118" spans="1:9" x14ac:dyDescent="0.25">
      <c r="A118" s="30" t="s">
        <v>56</v>
      </c>
      <c r="B118" s="31">
        <f>G90</f>
        <v>1</v>
      </c>
      <c r="C118" s="31">
        <f>G91</f>
        <v>2</v>
      </c>
      <c r="D118" s="31">
        <f>G92</f>
        <v>3</v>
      </c>
      <c r="E118" s="31">
        <f>G93</f>
        <v>4</v>
      </c>
      <c r="F118" s="45">
        <f>G94</f>
        <v>5</v>
      </c>
      <c r="G118" s="23"/>
      <c r="H118" s="5"/>
    </row>
    <row r="119" spans="1:9" x14ac:dyDescent="0.25">
      <c r="A119" s="30" t="s">
        <v>47</v>
      </c>
      <c r="B119" s="31">
        <f>F99</f>
        <v>-4.821637332766436E-17</v>
      </c>
      <c r="C119" s="31">
        <f>F100</f>
        <v>0.54823191053850973</v>
      </c>
      <c r="D119" s="31">
        <f>F101</f>
        <v>1.1871507776885348</v>
      </c>
      <c r="E119" s="31">
        <f>F102</f>
        <v>1.8745715885089023</v>
      </c>
      <c r="F119" s="45">
        <f>F103</f>
        <v>2.6002241822385028</v>
      </c>
      <c r="G119" s="23"/>
      <c r="H119" s="5"/>
    </row>
    <row r="120" spans="1:9" x14ac:dyDescent="0.25">
      <c r="A120" s="8" t="s">
        <v>57</v>
      </c>
      <c r="B120" s="5">
        <f>F90</f>
        <v>0.99999999999999989</v>
      </c>
      <c r="C120" s="5">
        <f>F91</f>
        <v>3.5337181776077102</v>
      </c>
      <c r="D120" s="5">
        <f>F92</f>
        <v>15.386887471690184</v>
      </c>
      <c r="E120" s="5">
        <f>F93</f>
        <v>74.91548379931038</v>
      </c>
      <c r="F120" s="9">
        <f>F94</f>
        <v>398.31272599879122</v>
      </c>
      <c r="G120" s="5"/>
      <c r="H120" s="5"/>
    </row>
    <row r="121" spans="1:9" x14ac:dyDescent="0.25">
      <c r="A121" s="40" t="s">
        <v>215</v>
      </c>
      <c r="B121" s="49">
        <f>LINEST(B119:F119,B118:F118)</f>
        <v>0.65267880424473967</v>
      </c>
      <c r="C121" s="48" t="s">
        <v>49</v>
      </c>
      <c r="D121" s="92">
        <f>10^B121</f>
        <v>4.4944732943706924</v>
      </c>
      <c r="E121" s="5"/>
      <c r="F121" s="71"/>
      <c r="G121" s="5"/>
      <c r="H121" s="5"/>
      <c r="I121" s="5"/>
    </row>
    <row r="122" spans="1:9" ht="15.75" thickBot="1" x14ac:dyDescent="0.3">
      <c r="A122" s="62" t="s">
        <v>147</v>
      </c>
      <c r="B122" s="93">
        <f>(B68+B77+B86+B59)/4</f>
        <v>4.5184096430831264</v>
      </c>
      <c r="C122" s="95"/>
      <c r="D122" s="93"/>
      <c r="E122" s="11"/>
      <c r="F122" s="12"/>
      <c r="G122" s="5"/>
      <c r="H122" s="5"/>
      <c r="I122" s="5"/>
    </row>
    <row r="123" spans="1:9" x14ac:dyDescent="0.25">
      <c r="A123" s="121"/>
      <c r="B123" s="49"/>
      <c r="C123" s="49"/>
      <c r="D123" s="49"/>
      <c r="E123" s="115"/>
      <c r="F123" s="115"/>
      <c r="G123" s="49"/>
    </row>
    <row r="124" spans="1:9" x14ac:dyDescent="0.25">
      <c r="A124" s="52"/>
      <c r="B124" s="49"/>
      <c r="C124" s="49"/>
      <c r="D124" s="49"/>
      <c r="E124" s="115"/>
      <c r="F124" s="115"/>
      <c r="G124" s="49"/>
    </row>
    <row r="125" spans="1:9" x14ac:dyDescent="0.25">
      <c r="A125" s="49"/>
      <c r="B125" s="49"/>
      <c r="C125" s="49"/>
      <c r="D125" s="49"/>
      <c r="E125" s="49"/>
      <c r="F125" s="49"/>
      <c r="G125" s="49"/>
    </row>
    <row r="126" spans="1:9" x14ac:dyDescent="0.25">
      <c r="A126" s="49"/>
      <c r="B126" s="49"/>
      <c r="C126" s="49"/>
      <c r="D126" s="49"/>
      <c r="E126" s="49"/>
      <c r="F126" s="49"/>
      <c r="G126" s="49"/>
    </row>
    <row r="127" spans="1:9" ht="18.75" x14ac:dyDescent="0.3">
      <c r="A127" s="49"/>
      <c r="B127" s="49"/>
      <c r="C127" s="49"/>
      <c r="D127" s="49"/>
      <c r="E127" s="122" t="s">
        <v>129</v>
      </c>
      <c r="F127" s="123">
        <f>D121</f>
        <v>4.4944732943706924</v>
      </c>
      <c r="G127" s="49"/>
    </row>
    <row r="128" spans="1:9" x14ac:dyDescent="0.25">
      <c r="A128" s="49"/>
      <c r="B128" s="49"/>
      <c r="C128" s="49"/>
      <c r="D128" s="49"/>
      <c r="G128" s="49"/>
    </row>
    <row r="129" spans="1:7" x14ac:dyDescent="0.25">
      <c r="A129" s="49"/>
      <c r="B129" s="49"/>
      <c r="C129" s="49"/>
      <c r="D129" s="49"/>
      <c r="E129" s="49"/>
      <c r="F129" s="49"/>
      <c r="G129" s="49"/>
    </row>
    <row r="130" spans="1:7" x14ac:dyDescent="0.25">
      <c r="A130" s="49"/>
      <c r="B130" s="49"/>
      <c r="C130" s="49"/>
      <c r="D130" s="49"/>
      <c r="E130" s="49"/>
      <c r="F130" s="49"/>
      <c r="G130" s="49"/>
    </row>
  </sheetData>
  <sheetProtection algorithmName="SHA-512" hashValue="ZUjWoMWbdCSWrUE/8dTbVOwMU9CcQVywbsIrEoPTuJsrZc/JJFAlcRCDEpNk83Uf3G32eXINvobWL71Jx4HfVA==" saltValue="PEhtPNJQ1yA/LBxyM39maA==" spinCount="100000" sheet="1" objects="1" scenarios="1"/>
  <mergeCells count="5">
    <mergeCell ref="E123:F123"/>
    <mergeCell ref="E124:F124"/>
    <mergeCell ref="D4:F4"/>
    <mergeCell ref="D5:F5"/>
    <mergeCell ref="A1:G1"/>
  </mergeCells>
  <pageMargins left="0.7" right="0.7" top="0.75" bottom="0.75" header="0.3" footer="0.3"/>
  <pageSetup orientation="portrait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4"/>
  <sheetViews>
    <sheetView zoomScale="115" zoomScaleNormal="115" workbookViewId="0">
      <selection activeCell="B26" sqref="B26"/>
    </sheetView>
  </sheetViews>
  <sheetFormatPr defaultRowHeight="15" x14ac:dyDescent="0.25"/>
  <cols>
    <col min="1" max="1" width="34.42578125" customWidth="1"/>
    <col min="2" max="2" width="13.85546875" customWidth="1"/>
    <col min="3" max="3" width="15.5703125" bestFit="1" customWidth="1"/>
    <col min="4" max="4" width="11.42578125" customWidth="1"/>
    <col min="5" max="5" width="8.7109375" customWidth="1"/>
    <col min="6" max="6" width="8.85546875" customWidth="1"/>
    <col min="7" max="7" width="9.28515625" customWidth="1"/>
    <col min="8" max="8" width="9.140625" customWidth="1"/>
  </cols>
  <sheetData>
    <row r="1" spans="1:11" ht="15.75" thickBot="1" x14ac:dyDescent="0.3">
      <c r="A1" s="118" t="s">
        <v>136</v>
      </c>
      <c r="B1" s="118"/>
      <c r="C1" s="118"/>
      <c r="D1" s="118"/>
      <c r="E1" s="118"/>
      <c r="F1" s="118"/>
      <c r="G1" s="118"/>
      <c r="H1" s="33"/>
      <c r="I1" s="33"/>
      <c r="J1" s="33"/>
      <c r="K1" s="33"/>
    </row>
    <row r="2" spans="1:11" x14ac:dyDescent="0.25">
      <c r="A2" s="13" t="s">
        <v>107</v>
      </c>
      <c r="B2" s="20"/>
      <c r="F2" s="33"/>
      <c r="G2" s="33"/>
    </row>
    <row r="3" spans="1:11" x14ac:dyDescent="0.25">
      <c r="A3" s="18" t="s">
        <v>0</v>
      </c>
      <c r="B3" s="124" t="s">
        <v>1</v>
      </c>
    </row>
    <row r="4" spans="1:11" x14ac:dyDescent="0.25">
      <c r="A4" s="18" t="s">
        <v>69</v>
      </c>
      <c r="B4" s="124">
        <f>100</f>
        <v>100</v>
      </c>
    </row>
    <row r="5" spans="1:11" x14ac:dyDescent="0.25">
      <c r="A5" s="18" t="s">
        <v>70</v>
      </c>
      <c r="B5" s="124">
        <f>0.01</f>
        <v>0.01</v>
      </c>
    </row>
    <row r="6" spans="1:11" x14ac:dyDescent="0.25">
      <c r="A6" s="18" t="s">
        <v>2</v>
      </c>
      <c r="B6" s="124">
        <v>6</v>
      </c>
    </row>
    <row r="7" spans="1:11" x14ac:dyDescent="0.25">
      <c r="A7" s="14" t="s">
        <v>3</v>
      </c>
      <c r="B7" s="9">
        <f>10^B6</f>
        <v>1000000</v>
      </c>
      <c r="D7" s="116" t="s">
        <v>95</v>
      </c>
      <c r="E7" s="116"/>
      <c r="F7" s="116"/>
    </row>
    <row r="8" spans="1:11" x14ac:dyDescent="0.25">
      <c r="A8" s="18" t="s">
        <v>50</v>
      </c>
      <c r="B8" s="124">
        <v>30</v>
      </c>
      <c r="D8" s="117" t="s">
        <v>131</v>
      </c>
      <c r="E8" s="117"/>
      <c r="F8" s="117"/>
    </row>
    <row r="9" spans="1:11" x14ac:dyDescent="0.25">
      <c r="A9" s="18" t="s">
        <v>71</v>
      </c>
      <c r="B9" s="124">
        <v>15</v>
      </c>
    </row>
    <row r="10" spans="1:11" x14ac:dyDescent="0.25">
      <c r="A10" s="18" t="s">
        <v>72</v>
      </c>
      <c r="B10" s="124">
        <v>8</v>
      </c>
    </row>
    <row r="11" spans="1:11" x14ac:dyDescent="0.25">
      <c r="A11" s="18" t="s">
        <v>63</v>
      </c>
      <c r="B11" s="124">
        <v>1</v>
      </c>
    </row>
    <row r="12" spans="1:11" ht="15.75" thickBot="1" x14ac:dyDescent="0.3">
      <c r="A12" s="8" t="s">
        <v>62</v>
      </c>
      <c r="B12" s="15">
        <f>B11/B4</f>
        <v>0.01</v>
      </c>
    </row>
    <row r="13" spans="1:11" x14ac:dyDescent="0.25">
      <c r="A13" s="18" t="s">
        <v>73</v>
      </c>
      <c r="B13" s="124">
        <v>0.04</v>
      </c>
      <c r="D13" s="13" t="s">
        <v>65</v>
      </c>
      <c r="E13" s="6"/>
      <c r="F13" s="6"/>
      <c r="G13" s="7"/>
    </row>
    <row r="14" spans="1:11" x14ac:dyDescent="0.25">
      <c r="A14" s="14" t="s">
        <v>74</v>
      </c>
      <c r="B14" s="15">
        <f>0.35*B13*B7</f>
        <v>13999.999999999998</v>
      </c>
      <c r="C14" s="5"/>
      <c r="D14" s="18" t="s">
        <v>174</v>
      </c>
      <c r="E14" s="19"/>
      <c r="F14" s="19"/>
      <c r="G14" s="124">
        <v>0</v>
      </c>
    </row>
    <row r="15" spans="1:11" x14ac:dyDescent="0.25">
      <c r="A15" s="18" t="s">
        <v>75</v>
      </c>
      <c r="B15" s="124">
        <v>2</v>
      </c>
      <c r="C15" s="5"/>
      <c r="D15" s="8" t="s">
        <v>68</v>
      </c>
      <c r="E15" s="5"/>
      <c r="F15" s="5"/>
      <c r="G15" s="9" t="e">
        <f>0.693/G14</f>
        <v>#DIV/0!</v>
      </c>
    </row>
    <row r="16" spans="1:11" x14ac:dyDescent="0.25">
      <c r="A16" s="14" t="s">
        <v>130</v>
      </c>
      <c r="B16" s="9">
        <f>B18*B14</f>
        <v>419999.99999999994</v>
      </c>
      <c r="C16" s="5"/>
      <c r="D16" s="18" t="s">
        <v>67</v>
      </c>
      <c r="E16" s="19"/>
      <c r="F16" s="19"/>
      <c r="G16" s="124">
        <v>2.5000000000000001E-3</v>
      </c>
    </row>
    <row r="17" spans="1:8" ht="15.75" thickBot="1" x14ac:dyDescent="0.3">
      <c r="A17" s="14" t="s">
        <v>64</v>
      </c>
      <c r="B17" s="9">
        <f>B16/B4/B15</f>
        <v>2099.9999999999995</v>
      </c>
      <c r="C17" s="5"/>
      <c r="D17" s="10" t="s">
        <v>66</v>
      </c>
      <c r="E17" s="11"/>
      <c r="F17" s="11"/>
      <c r="G17" s="12">
        <f>0.693/G16</f>
        <v>277.2</v>
      </c>
    </row>
    <row r="18" spans="1:8" x14ac:dyDescent="0.25">
      <c r="A18" s="14" t="s">
        <v>76</v>
      </c>
      <c r="B18" s="9">
        <f>B11*B8</f>
        <v>30</v>
      </c>
      <c r="C18" s="5"/>
      <c r="D18" s="5"/>
      <c r="E18" s="5"/>
      <c r="F18" s="5"/>
    </row>
    <row r="19" spans="1:8" x14ac:dyDescent="0.25">
      <c r="A19" s="14" t="s">
        <v>77</v>
      </c>
      <c r="B19" s="15">
        <f>B18/B4</f>
        <v>0.3</v>
      </c>
    </row>
    <row r="20" spans="1:8" x14ac:dyDescent="0.25">
      <c r="A20" s="28" t="s">
        <v>78</v>
      </c>
      <c r="B20" s="32">
        <f>B11/(B4*B5)</f>
        <v>1</v>
      </c>
    </row>
    <row r="21" spans="1:8" x14ac:dyDescent="0.25">
      <c r="A21" s="28" t="s">
        <v>79</v>
      </c>
      <c r="B21" s="32">
        <f>B18/(B4*B5)</f>
        <v>30</v>
      </c>
      <c r="E21" s="5"/>
      <c r="F21" s="5"/>
      <c r="G21" s="5"/>
      <c r="H21" s="5"/>
    </row>
    <row r="22" spans="1:8" ht="15.75" thickBot="1" x14ac:dyDescent="0.3">
      <c r="A22" s="74" t="s">
        <v>155</v>
      </c>
      <c r="B22" s="125">
        <v>1.5</v>
      </c>
      <c r="E22" s="5"/>
      <c r="F22" s="5"/>
      <c r="G22" s="5"/>
      <c r="H22" s="5"/>
    </row>
    <row r="23" spans="1:8" ht="15.75" thickBot="1" x14ac:dyDescent="0.3">
      <c r="A23" s="4"/>
      <c r="B23" s="4"/>
      <c r="E23" s="5"/>
      <c r="F23" s="5"/>
      <c r="G23" s="5"/>
      <c r="H23" s="5"/>
    </row>
    <row r="24" spans="1:8" x14ac:dyDescent="0.25">
      <c r="A24" s="13" t="s">
        <v>12</v>
      </c>
      <c r="B24" s="6"/>
      <c r="C24" s="6"/>
      <c r="D24" s="6"/>
      <c r="E24" s="7"/>
      <c r="F24" s="5"/>
      <c r="G24" s="5"/>
      <c r="H24" s="5"/>
    </row>
    <row r="25" spans="1:8" x14ac:dyDescent="0.25">
      <c r="A25" s="8" t="s">
        <v>11</v>
      </c>
      <c r="B25" s="133" t="s">
        <v>138</v>
      </c>
      <c r="C25" s="133" t="s">
        <v>113</v>
      </c>
      <c r="D25" s="136" t="s">
        <v>135</v>
      </c>
      <c r="E25" s="134" t="s">
        <v>112</v>
      </c>
      <c r="F25" s="5"/>
      <c r="G25" s="5"/>
      <c r="H25" s="5"/>
    </row>
    <row r="26" spans="1:8" x14ac:dyDescent="0.25">
      <c r="A26" s="8" t="s">
        <v>10</v>
      </c>
      <c r="B26" s="129">
        <v>0</v>
      </c>
      <c r="C26" s="129">
        <v>4</v>
      </c>
      <c r="D26" s="129">
        <v>5</v>
      </c>
      <c r="E26" s="137">
        <v>7</v>
      </c>
      <c r="F26" s="5"/>
      <c r="G26" s="5"/>
      <c r="H26" s="5"/>
    </row>
    <row r="27" spans="1:8" x14ac:dyDescent="0.25">
      <c r="A27" s="18" t="s">
        <v>80</v>
      </c>
      <c r="B27" s="128">
        <v>0.05</v>
      </c>
      <c r="C27" s="128">
        <v>0.05</v>
      </c>
      <c r="D27" s="128">
        <v>0.05</v>
      </c>
      <c r="E27" s="124">
        <v>0.05</v>
      </c>
    </row>
    <row r="28" spans="1:8" x14ac:dyDescent="0.25">
      <c r="A28" s="28" t="s">
        <v>4</v>
      </c>
      <c r="B28" s="27">
        <f>$B5*B27*$B7</f>
        <v>500</v>
      </c>
      <c r="C28" s="27">
        <f>$B5*C27*$B7</f>
        <v>500</v>
      </c>
      <c r="D28" s="27">
        <f>$B5*D27*$B7</f>
        <v>500</v>
      </c>
      <c r="E28" s="32">
        <f>$B5*E27*$B7</f>
        <v>500</v>
      </c>
    </row>
    <row r="29" spans="1:8" x14ac:dyDescent="0.25">
      <c r="A29" s="18" t="s">
        <v>81</v>
      </c>
      <c r="B29" s="5"/>
      <c r="C29" s="131">
        <f>0.0000105*1000</f>
        <v>1.0499999999999999E-2</v>
      </c>
      <c r="D29" s="128">
        <v>4.2300000000000004</v>
      </c>
      <c r="E29" s="135">
        <v>2990</v>
      </c>
    </row>
    <row r="30" spans="1:8" x14ac:dyDescent="0.25">
      <c r="A30" s="18" t="s">
        <v>29</v>
      </c>
      <c r="B30" s="5"/>
      <c r="C30" s="128">
        <v>7</v>
      </c>
      <c r="D30" s="128">
        <v>7</v>
      </c>
      <c r="E30" s="124">
        <v>7</v>
      </c>
    </row>
    <row r="31" spans="1:8" x14ac:dyDescent="0.25">
      <c r="A31" s="8" t="s">
        <v>210</v>
      </c>
      <c r="B31" s="3"/>
      <c r="C31" s="5">
        <f t="shared" ref="C31:E31" si="0">1/(1.85+155/$B$7)</f>
        <v>0.54049525580289215</v>
      </c>
      <c r="D31" s="5">
        <f t="shared" si="0"/>
        <v>0.54049525580289215</v>
      </c>
      <c r="E31" s="9">
        <f t="shared" si="0"/>
        <v>0.54049525580289215</v>
      </c>
    </row>
    <row r="32" spans="1:8" x14ac:dyDescent="0.25">
      <c r="A32" s="8" t="s">
        <v>214</v>
      </c>
      <c r="B32" s="3"/>
      <c r="C32" s="5">
        <f>1/(2.3+0.00000005*$B$7)</f>
        <v>0.42553191489361708</v>
      </c>
      <c r="D32" s="5">
        <f t="shared" ref="D32:E32" si="1">1/(2.3+0.00000005*$B$7)</f>
        <v>0.42553191489361708</v>
      </c>
      <c r="E32" s="9">
        <f t="shared" si="1"/>
        <v>0.42553191489361708</v>
      </c>
    </row>
    <row r="33" spans="1:5" x14ac:dyDescent="0.25">
      <c r="A33" s="8" t="s">
        <v>82</v>
      </c>
      <c r="B33" s="5"/>
      <c r="C33" s="5">
        <f>1400*(C29/1000)^0.65/$B$10</f>
        <v>0.10158067469782314</v>
      </c>
      <c r="D33" s="5">
        <f>1400*(D29/1000)^0.65/$B$10</f>
        <v>5.0137108927562224</v>
      </c>
      <c r="E33" s="9">
        <f t="shared" ref="E33" si="2">1400*(E29/1000)^0.65/$B$10</f>
        <v>356.63529455770475</v>
      </c>
    </row>
    <row r="34" spans="1:5" x14ac:dyDescent="0.25">
      <c r="A34" s="8" t="s">
        <v>211</v>
      </c>
      <c r="B34" s="5"/>
      <c r="C34" s="5">
        <f>(0.00092*(C29/1000)^0.85*EXP(0.06*$B$9))*24</f>
        <v>3.1832812190464625E-6</v>
      </c>
      <c r="D34" s="5">
        <f t="shared" ref="D34:E34" si="3">(0.00092*(D29/1000)^0.85*EXP(0.06*$B$9))*24</f>
        <v>5.2149892201620678E-4</v>
      </c>
      <c r="E34" s="9">
        <f t="shared" si="3"/>
        <v>0.13777950268895456</v>
      </c>
    </row>
    <row r="35" spans="1:5" x14ac:dyDescent="0.25">
      <c r="A35" s="8"/>
      <c r="B35" s="5"/>
      <c r="C35" s="5"/>
      <c r="D35" s="5"/>
      <c r="E35" s="9"/>
    </row>
    <row r="36" spans="1:5" x14ac:dyDescent="0.25">
      <c r="A36" s="8" t="s">
        <v>83</v>
      </c>
      <c r="B36" s="5"/>
      <c r="C36" s="5">
        <f>C31*C33*1000/C29</f>
        <v>5228.9402624219329</v>
      </c>
      <c r="D36" s="5">
        <f>D31*D33*1000/D29</f>
        <v>640.63521312104513</v>
      </c>
      <c r="E36" s="9">
        <f>E31*E33*1000/E29</f>
        <v>64.468121993413519</v>
      </c>
    </row>
    <row r="37" spans="1:5" x14ac:dyDescent="0.25">
      <c r="A37" s="8" t="s">
        <v>84</v>
      </c>
      <c r="B37" s="5"/>
      <c r="C37" s="5">
        <f>C32*C34*1000/C29</f>
        <v>0.12900835740816466</v>
      </c>
      <c r="D37" s="5">
        <f>D32*D34*1000/D29</f>
        <v>5.2462041347639134E-2</v>
      </c>
      <c r="E37" s="9">
        <f>E32*E34*1000/E29</f>
        <v>1.960855371649535E-2</v>
      </c>
    </row>
    <row r="38" spans="1:5" x14ac:dyDescent="0.25">
      <c r="A38" s="28" t="s">
        <v>85</v>
      </c>
      <c r="B38" s="27"/>
      <c r="C38" s="27">
        <f>C29*$B$5*C36/10^6</f>
        <v>5.4903872755430295E-7</v>
      </c>
      <c r="D38" s="27">
        <f>D29*$B$5*D36/10^6</f>
        <v>2.7098869515020211E-5</v>
      </c>
      <c r="E38" s="32">
        <f>E29*$B$5*E36/10^6</f>
        <v>1.9275968476030643E-3</v>
      </c>
    </row>
    <row r="39" spans="1:5" x14ac:dyDescent="0.25">
      <c r="A39" s="28" t="s">
        <v>86</v>
      </c>
      <c r="B39" s="27"/>
      <c r="C39" s="27">
        <f>C37*C28*C29/10^6</f>
        <v>6.7729387639286445E-7</v>
      </c>
      <c r="D39" s="27">
        <f>D37*D28*D29/10^6</f>
        <v>1.1095721745025678E-4</v>
      </c>
      <c r="E39" s="32">
        <f>E37*E28*E29/10^6</f>
        <v>2.9314787806160546E-2</v>
      </c>
    </row>
    <row r="40" spans="1:5" x14ac:dyDescent="0.25">
      <c r="A40" s="8"/>
      <c r="B40" s="5"/>
      <c r="C40" s="5"/>
      <c r="D40" s="5"/>
      <c r="E40" s="9"/>
    </row>
    <row r="41" spans="1:5" x14ac:dyDescent="0.25">
      <c r="A41" s="8" t="s">
        <v>87</v>
      </c>
      <c r="B41" s="5"/>
      <c r="C41" s="5">
        <f>$G$14</f>
        <v>0</v>
      </c>
      <c r="D41" s="5">
        <f t="shared" ref="D41:E41" si="4">$G$14</f>
        <v>0</v>
      </c>
      <c r="E41" s="9">
        <f t="shared" si="4"/>
        <v>0</v>
      </c>
    </row>
    <row r="42" spans="1:5" x14ac:dyDescent="0.25">
      <c r="A42" s="8" t="s">
        <v>212</v>
      </c>
      <c r="B42" s="5"/>
      <c r="C42" s="106">
        <f>0.00586*(1.113^($B$9-20))*C29^-0.2</f>
        <v>8.5346149968754254E-3</v>
      </c>
      <c r="D42" s="106">
        <f t="shared" ref="D42:E42" si="5">0.00586*(1.113^($B$9-20))*D29^-0.2</f>
        <v>2.5713057492260712E-3</v>
      </c>
      <c r="E42" s="98">
        <f t="shared" si="5"/>
        <v>6.9228920030330043E-4</v>
      </c>
    </row>
    <row r="43" spans="1:5" x14ac:dyDescent="0.25">
      <c r="A43" s="8" t="s">
        <v>88</v>
      </c>
      <c r="B43" s="5"/>
      <c r="C43" s="5">
        <f>C$36/(C27*$B$7)</f>
        <v>0.10457880524843866</v>
      </c>
      <c r="D43" s="5">
        <f>D$36/(D27*$B$7)</f>
        <v>1.2812704262420902E-2</v>
      </c>
      <c r="E43" s="9">
        <f>E$36/(E27*$B$7)</f>
        <v>1.2893624398682703E-3</v>
      </c>
    </row>
    <row r="44" spans="1:5" x14ac:dyDescent="0.25">
      <c r="A44" s="8" t="s">
        <v>89</v>
      </c>
      <c r="B44" s="5"/>
      <c r="C44" s="5">
        <f t="shared" ref="C44" si="6">C37/C30</f>
        <v>1.8429765344023522E-2</v>
      </c>
      <c r="D44" s="5">
        <f t="shared" ref="D44:E44" si="7">D37/D30</f>
        <v>7.4945773353770192E-3</v>
      </c>
      <c r="E44" s="9">
        <f t="shared" si="7"/>
        <v>2.8012219594993359E-3</v>
      </c>
    </row>
    <row r="45" spans="1:5" x14ac:dyDescent="0.25">
      <c r="A45" s="8" t="s">
        <v>90</v>
      </c>
      <c r="B45" s="5"/>
      <c r="C45" s="5">
        <f t="shared" ref="C45" si="8">C41+C42+C43+C44</f>
        <v>0.13154318558933761</v>
      </c>
      <c r="D45" s="5">
        <f t="shared" ref="D45:E45" si="9">D41+D42+D43+D44</f>
        <v>2.2878587347023992E-2</v>
      </c>
      <c r="E45" s="9">
        <f t="shared" si="9"/>
        <v>4.7828735996709067E-3</v>
      </c>
    </row>
    <row r="46" spans="1:5" x14ac:dyDescent="0.25">
      <c r="A46" s="8" t="s">
        <v>68</v>
      </c>
      <c r="B46" s="5"/>
      <c r="C46" s="5">
        <f>0.693/C45</f>
        <v>5.2682318502112651</v>
      </c>
      <c r="D46" s="5">
        <f>0.693/D45</f>
        <v>30.290331718848201</v>
      </c>
      <c r="E46" s="9">
        <f t="shared" ref="E46" si="10">0.693/E45</f>
        <v>144.89197457521831</v>
      </c>
    </row>
    <row r="47" spans="1:5" x14ac:dyDescent="0.25">
      <c r="A47" s="28" t="s">
        <v>13</v>
      </c>
      <c r="B47" s="27"/>
      <c r="C47" s="27">
        <f>C29*C28*C41/10^6</f>
        <v>0</v>
      </c>
      <c r="D47" s="27">
        <f>D29*D28*D41/10^6</f>
        <v>0</v>
      </c>
      <c r="E47" s="32">
        <f>E29*E28*E41/10^6</f>
        <v>0</v>
      </c>
    </row>
    <row r="48" spans="1:5" x14ac:dyDescent="0.25">
      <c r="A48" s="28" t="s">
        <v>91</v>
      </c>
      <c r="B48" s="27"/>
      <c r="C48" s="27">
        <f>C29*C28*C42/10^6</f>
        <v>4.480672873359597E-8</v>
      </c>
      <c r="D48" s="27">
        <f>D29*D28*D42/10^6</f>
        <v>5.438311659613141E-6</v>
      </c>
      <c r="E48" s="32">
        <f>E29*E28*E42/10^6</f>
        <v>1.0349723544534339E-3</v>
      </c>
    </row>
    <row r="49" spans="1:7" x14ac:dyDescent="0.25">
      <c r="A49" s="28" t="s">
        <v>92</v>
      </c>
      <c r="B49" s="27"/>
      <c r="C49" s="27">
        <f>C29*C28*C43/10^6</f>
        <v>5.4903872755430285E-7</v>
      </c>
      <c r="D49" s="27">
        <f>D29*D28*D43/10^6</f>
        <v>2.7098869515020207E-5</v>
      </c>
      <c r="E49" s="32">
        <f>E29*E28*E43/10^6</f>
        <v>1.9275968476030641E-3</v>
      </c>
    </row>
    <row r="50" spans="1:7" x14ac:dyDescent="0.25">
      <c r="A50" s="28" t="s">
        <v>93</v>
      </c>
      <c r="B50" s="27"/>
      <c r="C50" s="27">
        <f>C29*C28*C44/10^6</f>
        <v>9.6756268056123479E-8</v>
      </c>
      <c r="D50" s="27">
        <f>D29*D28*D44/10^6</f>
        <v>1.5851031064322394E-5</v>
      </c>
      <c r="E50" s="32">
        <f>E29*E28*E44/10^6</f>
        <v>4.187826829451507E-3</v>
      </c>
    </row>
    <row r="51" spans="1:7" x14ac:dyDescent="0.25">
      <c r="A51" s="28" t="s">
        <v>94</v>
      </c>
      <c r="B51" s="27"/>
      <c r="C51" s="27">
        <f>C29*C28*C45/10^6</f>
        <v>6.9060172434402234E-7</v>
      </c>
      <c r="D51" s="27">
        <f>D29*D28*D45/10^6</f>
        <v>4.8388212238955745E-5</v>
      </c>
      <c r="E51" s="32">
        <f>E29*E28*E45/10^6</f>
        <v>7.1503960315080061E-3</v>
      </c>
    </row>
    <row r="52" spans="1:7" ht="15.75" thickBot="1" x14ac:dyDescent="0.3">
      <c r="A52" s="10" t="s">
        <v>5</v>
      </c>
      <c r="B52" s="11">
        <f>B27*B7</f>
        <v>50000</v>
      </c>
      <c r="C52" s="11">
        <f t="shared" ref="C52:E52" si="11">C27*$B$7</f>
        <v>50000</v>
      </c>
      <c r="D52" s="11">
        <f t="shared" si="11"/>
        <v>50000</v>
      </c>
      <c r="E52" s="12">
        <f t="shared" si="11"/>
        <v>50000</v>
      </c>
    </row>
    <row r="53" spans="1:7" ht="15.75" thickBot="1" x14ac:dyDescent="0.3"/>
    <row r="54" spans="1:7" x14ac:dyDescent="0.25">
      <c r="A54" s="21" t="str">
        <f>B25</f>
        <v>Detritus (foc)</v>
      </c>
      <c r="B54" s="89" t="s">
        <v>161</v>
      </c>
      <c r="C54" s="90">
        <f>B26</f>
        <v>0</v>
      </c>
      <c r="D54" s="7"/>
    </row>
    <row r="55" spans="1:7" x14ac:dyDescent="0.25">
      <c r="A55" s="22" t="s">
        <v>188</v>
      </c>
      <c r="B55" s="5">
        <f>B52*B18</f>
        <v>1500000</v>
      </c>
      <c r="C55" s="5"/>
      <c r="D55" s="9"/>
    </row>
    <row r="56" spans="1:7" x14ac:dyDescent="0.25">
      <c r="A56" s="24" t="s">
        <v>189</v>
      </c>
      <c r="B56" s="5">
        <f>B55/B27</f>
        <v>30000000</v>
      </c>
      <c r="C56" s="23" t="s">
        <v>96</v>
      </c>
      <c r="D56" s="15">
        <f>B22</f>
        <v>1.5</v>
      </c>
    </row>
    <row r="57" spans="1:7" x14ac:dyDescent="0.25">
      <c r="A57" s="24" t="s">
        <v>190</v>
      </c>
      <c r="B57" s="5">
        <f>B55/B4</f>
        <v>15000</v>
      </c>
      <c r="C57" s="5"/>
      <c r="D57" s="15"/>
    </row>
    <row r="58" spans="1:7" ht="15.75" thickBot="1" x14ac:dyDescent="0.3">
      <c r="A58" s="25" t="s">
        <v>142</v>
      </c>
      <c r="B58" s="26">
        <f>B57/B28</f>
        <v>30</v>
      </c>
      <c r="C58" s="11"/>
      <c r="D58" s="12"/>
    </row>
    <row r="59" spans="1:7" x14ac:dyDescent="0.25">
      <c r="A59" s="21" t="str">
        <f>C25</f>
        <v>Amphipod</v>
      </c>
      <c r="B59" s="89" t="s">
        <v>161</v>
      </c>
      <c r="C59" s="90">
        <f>C26</f>
        <v>4</v>
      </c>
      <c r="D59" s="7"/>
    </row>
    <row r="60" spans="1:7" x14ac:dyDescent="0.25">
      <c r="A60" s="24" t="s">
        <v>191</v>
      </c>
      <c r="B60" s="5">
        <f>B55</f>
        <v>1500000</v>
      </c>
      <c r="C60" s="5"/>
      <c r="D60" s="9"/>
      <c r="E60" s="1"/>
      <c r="F60" s="1"/>
      <c r="G60" s="1"/>
    </row>
    <row r="61" spans="1:7" x14ac:dyDescent="0.25">
      <c r="A61" s="22" t="s">
        <v>201</v>
      </c>
      <c r="B61" s="5">
        <f>B60*D61</f>
        <v>1500000</v>
      </c>
      <c r="C61" s="19" t="s">
        <v>133</v>
      </c>
      <c r="D61" s="132">
        <f>1</f>
        <v>1</v>
      </c>
      <c r="E61" s="1"/>
      <c r="F61" s="1"/>
      <c r="G61" s="1"/>
    </row>
    <row r="62" spans="1:7" x14ac:dyDescent="0.25">
      <c r="A62" s="24" t="s">
        <v>15</v>
      </c>
      <c r="B62" s="5">
        <f>B61/C27</f>
        <v>30000000</v>
      </c>
      <c r="C62" s="23" t="s">
        <v>96</v>
      </c>
      <c r="D62" s="15">
        <f>(D61*D56)+1</f>
        <v>2.5</v>
      </c>
      <c r="E62" s="1"/>
      <c r="F62" s="1"/>
      <c r="G62" s="1"/>
    </row>
    <row r="63" spans="1:7" x14ac:dyDescent="0.25">
      <c r="A63" s="73" t="s">
        <v>172</v>
      </c>
      <c r="B63" s="27">
        <f>B61/B4</f>
        <v>15000</v>
      </c>
      <c r="C63" s="5"/>
      <c r="D63" s="15"/>
      <c r="E63" s="1"/>
      <c r="F63" s="1"/>
      <c r="G63" s="1"/>
    </row>
    <row r="64" spans="1:7" x14ac:dyDescent="0.25">
      <c r="A64" s="28" t="s">
        <v>185</v>
      </c>
      <c r="B64" s="27">
        <f>B63/C28</f>
        <v>30</v>
      </c>
      <c r="C64" s="5"/>
      <c r="D64" s="9"/>
      <c r="E64" s="1"/>
      <c r="F64" s="1"/>
      <c r="G64" s="1"/>
    </row>
    <row r="65" spans="1:7" x14ac:dyDescent="0.25">
      <c r="A65" s="24" t="s">
        <v>7</v>
      </c>
      <c r="B65" s="23">
        <f>B61/B11</f>
        <v>1500000</v>
      </c>
      <c r="C65" s="5"/>
      <c r="D65" s="9"/>
      <c r="E65" s="1"/>
      <c r="F65" s="1"/>
      <c r="G65" s="1"/>
    </row>
    <row r="66" spans="1:7" x14ac:dyDescent="0.25">
      <c r="A66" s="14" t="s">
        <v>186</v>
      </c>
      <c r="B66" s="23">
        <f>B61/B55</f>
        <v>1</v>
      </c>
      <c r="C66" s="5"/>
      <c r="D66" s="9"/>
      <c r="E66" s="1"/>
      <c r="F66" s="1"/>
      <c r="G66" s="1"/>
    </row>
    <row r="67" spans="1:7" ht="15.75" thickBot="1" x14ac:dyDescent="0.3">
      <c r="A67" s="16" t="s">
        <v>187</v>
      </c>
      <c r="B67" s="43">
        <f>B62/B56</f>
        <v>1</v>
      </c>
      <c r="C67" s="11"/>
      <c r="D67" s="12"/>
      <c r="E67" s="1"/>
      <c r="F67" s="1"/>
      <c r="G67" s="1"/>
    </row>
    <row r="68" spans="1:7" x14ac:dyDescent="0.25">
      <c r="A68" s="21" t="str">
        <f>D25</f>
        <v>Sculpin</v>
      </c>
      <c r="B68" s="89" t="s">
        <v>161</v>
      </c>
      <c r="C68" s="90">
        <f>D26</f>
        <v>5</v>
      </c>
      <c r="D68" s="7"/>
      <c r="E68" s="1"/>
      <c r="F68" s="1"/>
      <c r="G68" s="1"/>
    </row>
    <row r="69" spans="1:7" x14ac:dyDescent="0.25">
      <c r="A69" s="8" t="s">
        <v>192</v>
      </c>
      <c r="B69" s="5">
        <f>D70*B55+B61*D71</f>
        <v>1500000</v>
      </c>
      <c r="C69" s="5"/>
      <c r="D69" s="9"/>
      <c r="E69" s="1"/>
      <c r="F69" s="1"/>
      <c r="G69" s="1"/>
    </row>
    <row r="70" spans="1:7" x14ac:dyDescent="0.25">
      <c r="A70" s="22" t="s">
        <v>166</v>
      </c>
      <c r="B70" s="5">
        <f>(B11*D36+B69*D37)/D45</f>
        <v>3467595.9678471726</v>
      </c>
      <c r="C70" s="19" t="s">
        <v>133</v>
      </c>
      <c r="D70" s="132">
        <v>0</v>
      </c>
      <c r="E70" s="1"/>
      <c r="F70" s="1"/>
      <c r="G70" s="1"/>
    </row>
    <row r="71" spans="1:7" x14ac:dyDescent="0.25">
      <c r="A71" s="8" t="s">
        <v>16</v>
      </c>
      <c r="B71" s="5">
        <f>B70/D27</f>
        <v>69351919.356943443</v>
      </c>
      <c r="C71" s="19" t="s">
        <v>101</v>
      </c>
      <c r="D71" s="132">
        <v>1</v>
      </c>
      <c r="E71" s="1"/>
      <c r="F71" s="1"/>
      <c r="G71" s="1"/>
    </row>
    <row r="72" spans="1:7" x14ac:dyDescent="0.25">
      <c r="A72" s="28" t="s">
        <v>193</v>
      </c>
      <c r="B72" s="27">
        <f>B70/B4</f>
        <v>34675.959678471729</v>
      </c>
      <c r="C72" s="23" t="s">
        <v>97</v>
      </c>
      <c r="D72" s="15">
        <f>(D70*D56+D71*D62)+1</f>
        <v>3.5</v>
      </c>
      <c r="E72" s="1"/>
      <c r="F72" s="1"/>
      <c r="G72" s="1"/>
    </row>
    <row r="73" spans="1:7" x14ac:dyDescent="0.25">
      <c r="A73" s="28" t="s">
        <v>144</v>
      </c>
      <c r="B73" s="27">
        <f>B72/D28</f>
        <v>69.351919356943455</v>
      </c>
      <c r="C73" s="5"/>
      <c r="D73" s="9"/>
      <c r="E73" s="1"/>
      <c r="F73" s="1"/>
      <c r="G73" s="1"/>
    </row>
    <row r="74" spans="1:7" x14ac:dyDescent="0.25">
      <c r="A74" s="8" t="s">
        <v>8</v>
      </c>
      <c r="B74" s="5">
        <f>B70/B11</f>
        <v>3467595.9678471726</v>
      </c>
      <c r="C74" s="5"/>
      <c r="D74" s="9"/>
      <c r="E74" s="1"/>
      <c r="F74" s="1"/>
      <c r="G74" s="1"/>
    </row>
    <row r="75" spans="1:7" x14ac:dyDescent="0.25">
      <c r="A75" s="8" t="s">
        <v>194</v>
      </c>
      <c r="B75" s="5">
        <f>B70/B60</f>
        <v>2.3117306452314486</v>
      </c>
      <c r="C75" s="5"/>
      <c r="D75" s="9"/>
      <c r="E75" s="1"/>
      <c r="F75" s="1"/>
      <c r="G75" s="1"/>
    </row>
    <row r="76" spans="1:7" ht="15.75" thickBot="1" x14ac:dyDescent="0.3">
      <c r="A76" s="37" t="s">
        <v>195</v>
      </c>
      <c r="B76" s="38">
        <f>B71/B62</f>
        <v>2.3117306452314481</v>
      </c>
      <c r="C76" s="11"/>
      <c r="D76" s="12"/>
      <c r="E76" s="1"/>
      <c r="F76" s="1"/>
      <c r="G76" s="1"/>
    </row>
    <row r="77" spans="1:7" x14ac:dyDescent="0.25">
      <c r="A77" s="21" t="str">
        <f>E25</f>
        <v>Trout</v>
      </c>
      <c r="B77" s="89" t="s">
        <v>161</v>
      </c>
      <c r="C77" s="90">
        <f>E26</f>
        <v>7</v>
      </c>
      <c r="D77" s="7"/>
      <c r="E77" s="1"/>
      <c r="F77" s="1"/>
      <c r="G77" s="1"/>
    </row>
    <row r="78" spans="1:7" x14ac:dyDescent="0.25">
      <c r="A78" s="8" t="s">
        <v>196</v>
      </c>
      <c r="B78" s="5">
        <f>D79*B55+D81*B70+B60*D80</f>
        <v>3467595.9678471726</v>
      </c>
      <c r="C78" s="5"/>
      <c r="D78" s="9"/>
      <c r="E78" s="1"/>
      <c r="F78" s="1"/>
      <c r="G78" s="1"/>
    </row>
    <row r="79" spans="1:7" x14ac:dyDescent="0.25">
      <c r="A79" s="22" t="s">
        <v>168</v>
      </c>
      <c r="B79" s="5">
        <f>(B11*E36+B78*E37)/E45</f>
        <v>14229732.086022571</v>
      </c>
      <c r="C79" s="19" t="s">
        <v>133</v>
      </c>
      <c r="D79" s="132">
        <v>0</v>
      </c>
      <c r="E79" s="1"/>
      <c r="F79" s="1"/>
      <c r="G79" s="1"/>
    </row>
    <row r="80" spans="1:7" x14ac:dyDescent="0.25">
      <c r="A80" s="8" t="s">
        <v>197</v>
      </c>
      <c r="B80" s="5">
        <f>B79/E27</f>
        <v>284594641.72045141</v>
      </c>
      <c r="C80" s="19" t="s">
        <v>101</v>
      </c>
      <c r="D80" s="132">
        <v>0</v>
      </c>
      <c r="E80" s="1"/>
      <c r="F80" s="1"/>
      <c r="G80" s="1"/>
    </row>
    <row r="81" spans="1:7" x14ac:dyDescent="0.25">
      <c r="A81" s="28" t="s">
        <v>198</v>
      </c>
      <c r="B81" s="27">
        <f>B79/B4</f>
        <v>142297.32086022571</v>
      </c>
      <c r="C81" s="19" t="s">
        <v>102</v>
      </c>
      <c r="D81" s="132">
        <v>1</v>
      </c>
      <c r="E81" s="1"/>
      <c r="F81" s="1"/>
      <c r="G81" s="1"/>
    </row>
    <row r="82" spans="1:7" x14ac:dyDescent="0.25">
      <c r="A82" s="28" t="s">
        <v>146</v>
      </c>
      <c r="B82" s="54">
        <f>B81/E28</f>
        <v>284.59464172045142</v>
      </c>
      <c r="C82" s="23" t="s">
        <v>98</v>
      </c>
      <c r="D82" s="15">
        <f>(D79*D56+D80*D62+D81*D72)+1</f>
        <v>4.5</v>
      </c>
      <c r="E82" s="1"/>
      <c r="F82" s="105"/>
      <c r="G82" s="1"/>
    </row>
    <row r="83" spans="1:7" ht="15.75" x14ac:dyDescent="0.25">
      <c r="A83" s="8" t="s">
        <v>123</v>
      </c>
      <c r="B83" s="5">
        <f>B79/B11</f>
        <v>14229732.086022571</v>
      </c>
      <c r="C83" s="5"/>
      <c r="D83" s="9"/>
      <c r="E83" s="1"/>
      <c r="F83" s="1"/>
      <c r="G83" s="2"/>
    </row>
    <row r="84" spans="1:7" x14ac:dyDescent="0.25">
      <c r="A84" s="8" t="s">
        <v>199</v>
      </c>
      <c r="B84" s="5">
        <f>B79/B70</f>
        <v>4.1036303588901042</v>
      </c>
      <c r="C84" s="5"/>
      <c r="D84" s="9"/>
      <c r="E84" s="1"/>
      <c r="F84" s="1"/>
      <c r="G84" s="1"/>
    </row>
    <row r="85" spans="1:7" ht="15.75" thickBot="1" x14ac:dyDescent="0.3">
      <c r="A85" s="37" t="s">
        <v>200</v>
      </c>
      <c r="B85" s="38">
        <f>B80/B71</f>
        <v>4.1036303588901042</v>
      </c>
      <c r="C85" s="11"/>
      <c r="D85" s="12"/>
    </row>
    <row r="86" spans="1:7" ht="15.75" thickBot="1" x14ac:dyDescent="0.3"/>
    <row r="87" spans="1:7" x14ac:dyDescent="0.25">
      <c r="A87" s="13" t="s">
        <v>30</v>
      </c>
      <c r="B87" s="6"/>
      <c r="C87" s="6"/>
      <c r="D87" s="6"/>
      <c r="E87" s="6"/>
      <c r="F87" s="6"/>
      <c r="G87" s="7"/>
    </row>
    <row r="88" spans="1:7" x14ac:dyDescent="0.25">
      <c r="A88" s="8"/>
      <c r="B88" s="34" t="s">
        <v>31</v>
      </c>
      <c r="C88" s="34" t="s">
        <v>34</v>
      </c>
      <c r="D88" s="34" t="s">
        <v>51</v>
      </c>
      <c r="E88" s="34" t="s">
        <v>36</v>
      </c>
      <c r="F88" s="34" t="s">
        <v>37</v>
      </c>
      <c r="G88" s="35" t="s">
        <v>38</v>
      </c>
    </row>
    <row r="89" spans="1:7" x14ac:dyDescent="0.25">
      <c r="A89" s="8"/>
      <c r="B89" s="49">
        <v>0</v>
      </c>
      <c r="C89" s="49">
        <f>B55</f>
        <v>1500000</v>
      </c>
      <c r="D89" s="49">
        <f>B56</f>
        <v>30000000</v>
      </c>
      <c r="E89" s="49">
        <f>B57</f>
        <v>15000</v>
      </c>
      <c r="F89" s="49">
        <f>B58</f>
        <v>30</v>
      </c>
      <c r="G89" s="50">
        <f>D56</f>
        <v>1.5</v>
      </c>
    </row>
    <row r="90" spans="1:7" x14ac:dyDescent="0.25">
      <c r="A90" s="8"/>
      <c r="B90" s="5">
        <f>C26</f>
        <v>4</v>
      </c>
      <c r="C90" s="5">
        <f>B61</f>
        <v>1500000</v>
      </c>
      <c r="D90" s="5">
        <f>B62</f>
        <v>30000000</v>
      </c>
      <c r="E90" s="5">
        <f>B63</f>
        <v>15000</v>
      </c>
      <c r="F90" s="5">
        <f>B64</f>
        <v>30</v>
      </c>
      <c r="G90" s="9">
        <f>D62</f>
        <v>2.5</v>
      </c>
    </row>
    <row r="91" spans="1:7" x14ac:dyDescent="0.25">
      <c r="A91" s="8"/>
      <c r="B91" s="5">
        <f>D26</f>
        <v>5</v>
      </c>
      <c r="C91" s="5">
        <f>B70</f>
        <v>3467595.9678471726</v>
      </c>
      <c r="D91" s="5">
        <f>B71</f>
        <v>69351919.356943443</v>
      </c>
      <c r="E91" s="5">
        <f>B72</f>
        <v>34675.959678471729</v>
      </c>
      <c r="F91" s="5">
        <f>B73</f>
        <v>69.351919356943455</v>
      </c>
      <c r="G91" s="9">
        <f>D72</f>
        <v>3.5</v>
      </c>
    </row>
    <row r="92" spans="1:7" x14ac:dyDescent="0.25">
      <c r="A92" s="8"/>
      <c r="B92" s="5">
        <f>E26</f>
        <v>7</v>
      </c>
      <c r="C92" s="5">
        <f>B79</f>
        <v>14229732.086022571</v>
      </c>
      <c r="D92" s="5">
        <f>B80</f>
        <v>284594641.72045141</v>
      </c>
      <c r="E92" s="5">
        <f>B81</f>
        <v>142297.32086022571</v>
      </c>
      <c r="F92" s="5">
        <f>B82</f>
        <v>284.59464172045142</v>
      </c>
      <c r="G92" s="9">
        <f>D82</f>
        <v>4.5</v>
      </c>
    </row>
    <row r="93" spans="1:7" x14ac:dyDescent="0.25">
      <c r="A93" s="8"/>
      <c r="B93" s="5" t="s">
        <v>32</v>
      </c>
      <c r="C93" s="5">
        <f>B11</f>
        <v>1</v>
      </c>
      <c r="D93" s="5"/>
      <c r="E93" s="5">
        <f>B12</f>
        <v>0.01</v>
      </c>
      <c r="F93" s="5">
        <f>B20</f>
        <v>1</v>
      </c>
      <c r="G93" s="9"/>
    </row>
    <row r="94" spans="1:7" ht="15.75" thickBot="1" x14ac:dyDescent="0.3">
      <c r="A94" s="10"/>
      <c r="B94" s="11" t="s">
        <v>33</v>
      </c>
      <c r="C94" s="11">
        <f>B16</f>
        <v>419999.99999999994</v>
      </c>
      <c r="D94" s="11"/>
      <c r="E94" s="11">
        <f>B17</f>
        <v>2099.9999999999995</v>
      </c>
      <c r="F94" s="11">
        <f>B21</f>
        <v>30</v>
      </c>
      <c r="G94" s="12"/>
    </row>
    <row r="95" spans="1:7" x14ac:dyDescent="0.25">
      <c r="A95" s="13" t="s">
        <v>39</v>
      </c>
      <c r="B95" s="6"/>
      <c r="C95" s="6"/>
      <c r="D95" s="6"/>
      <c r="E95" s="6"/>
      <c r="F95" s="6"/>
      <c r="G95" s="7"/>
    </row>
    <row r="96" spans="1:7" x14ac:dyDescent="0.25">
      <c r="A96" s="8"/>
      <c r="B96" s="34" t="s">
        <v>31</v>
      </c>
      <c r="C96" s="34" t="s">
        <v>34</v>
      </c>
      <c r="D96" s="34" t="s">
        <v>35</v>
      </c>
      <c r="E96" s="34" t="s">
        <v>36</v>
      </c>
      <c r="F96" s="34" t="s">
        <v>37</v>
      </c>
      <c r="G96" s="35" t="s">
        <v>44</v>
      </c>
    </row>
    <row r="97" spans="1:9" x14ac:dyDescent="0.25">
      <c r="A97" s="8"/>
      <c r="B97" s="49">
        <v>0</v>
      </c>
      <c r="C97" s="49">
        <f>LOG(C89)</f>
        <v>6.1760912590556813</v>
      </c>
      <c r="D97" s="49">
        <f t="shared" ref="D97:F97" si="12">LOG(D89)</f>
        <v>7.4771212547196626</v>
      </c>
      <c r="E97" s="49">
        <f t="shared" si="12"/>
        <v>4.1760912590556813</v>
      </c>
      <c r="F97" s="49">
        <f t="shared" si="12"/>
        <v>1.4771212547196624</v>
      </c>
      <c r="G97" s="50">
        <f>F97/G89</f>
        <v>0.98474750314644155</v>
      </c>
    </row>
    <row r="98" spans="1:9" x14ac:dyDescent="0.25">
      <c r="A98" s="8"/>
      <c r="B98" s="5">
        <v>1</v>
      </c>
      <c r="C98" s="5">
        <f>LOG(C90)</f>
        <v>6.1760912590556813</v>
      </c>
      <c r="D98" s="5">
        <f>LOG(D90)</f>
        <v>7.4771212547196626</v>
      </c>
      <c r="E98" s="5">
        <f>LOG(E90)</f>
        <v>4.1760912590556813</v>
      </c>
      <c r="F98" s="5">
        <f>LOG(F90)</f>
        <v>1.4771212547196624</v>
      </c>
      <c r="G98" s="9">
        <f>F98/G90</f>
        <v>0.59084850188786497</v>
      </c>
    </row>
    <row r="99" spans="1:9" x14ac:dyDescent="0.25">
      <c r="A99" s="8"/>
      <c r="B99" s="5">
        <v>2</v>
      </c>
      <c r="C99" s="5">
        <f t="shared" ref="C99:F99" si="13">LOG(C91)</f>
        <v>6.5400284892780478</v>
      </c>
      <c r="D99" s="5">
        <f t="shared" si="13"/>
        <v>7.8410584849420291</v>
      </c>
      <c r="E99" s="5">
        <f t="shared" si="13"/>
        <v>4.5400284892780478</v>
      </c>
      <c r="F99" s="5">
        <f t="shared" si="13"/>
        <v>1.8410584849420291</v>
      </c>
      <c r="G99" s="9">
        <f>F99/G91</f>
        <v>0.52601670998343686</v>
      </c>
    </row>
    <row r="100" spans="1:9" ht="15.75" thickBot="1" x14ac:dyDescent="0.3">
      <c r="A100" s="10"/>
      <c r="B100" s="11">
        <v>3</v>
      </c>
      <c r="C100" s="11">
        <f t="shared" ref="C100:F100" si="14">LOG(C92)</f>
        <v>7.1531967233690805</v>
      </c>
      <c r="D100" s="11">
        <f t="shared" si="14"/>
        <v>8.4542267190330609</v>
      </c>
      <c r="E100" s="11">
        <f t="shared" si="14"/>
        <v>5.1531967233690805</v>
      </c>
      <c r="F100" s="11">
        <f t="shared" si="14"/>
        <v>2.4542267190330613</v>
      </c>
      <c r="G100" s="12">
        <f>F100/G92</f>
        <v>0.54538371534068031</v>
      </c>
    </row>
    <row r="101" spans="1:9" x14ac:dyDescent="0.25">
      <c r="A101" s="13" t="s">
        <v>126</v>
      </c>
      <c r="B101" s="59" t="s">
        <v>127</v>
      </c>
      <c r="C101" s="6"/>
      <c r="D101" s="6"/>
      <c r="E101" s="7"/>
      <c r="F101" s="5"/>
      <c r="G101" s="5"/>
      <c r="H101" s="5"/>
    </row>
    <row r="102" spans="1:9" x14ac:dyDescent="0.25">
      <c r="A102" s="39"/>
      <c r="B102" s="34" t="s">
        <v>40</v>
      </c>
      <c r="C102" s="34">
        <v>1</v>
      </c>
      <c r="D102" s="34">
        <v>2</v>
      </c>
      <c r="E102" s="35">
        <v>3</v>
      </c>
      <c r="F102" s="34"/>
      <c r="G102" s="34"/>
      <c r="H102" s="5"/>
    </row>
    <row r="103" spans="1:9" x14ac:dyDescent="0.25">
      <c r="A103" s="39"/>
      <c r="B103" s="34">
        <v>0</v>
      </c>
      <c r="C103" s="5">
        <f>D61</f>
        <v>1</v>
      </c>
      <c r="D103" s="49">
        <f>D70</f>
        <v>0</v>
      </c>
      <c r="E103" s="50">
        <f>D79</f>
        <v>0</v>
      </c>
      <c r="F103" s="34"/>
      <c r="G103" s="34"/>
      <c r="H103" s="5"/>
    </row>
    <row r="104" spans="1:9" x14ac:dyDescent="0.25">
      <c r="A104" s="58" t="s">
        <v>134</v>
      </c>
      <c r="B104" s="34">
        <v>1</v>
      </c>
      <c r="C104" s="5"/>
      <c r="D104" s="5">
        <f>D71</f>
        <v>1</v>
      </c>
      <c r="E104" s="9">
        <f>D80</f>
        <v>0</v>
      </c>
      <c r="F104" s="5"/>
      <c r="G104" s="5"/>
      <c r="H104" s="5"/>
    </row>
    <row r="105" spans="1:9" x14ac:dyDescent="0.25">
      <c r="A105" s="8"/>
      <c r="B105" s="34">
        <v>2</v>
      </c>
      <c r="C105" s="5"/>
      <c r="D105" s="5"/>
      <c r="E105" s="9">
        <f>D81</f>
        <v>1</v>
      </c>
      <c r="F105" s="5"/>
      <c r="G105" s="5"/>
      <c r="H105" s="5"/>
    </row>
    <row r="106" spans="1:9" ht="15.75" thickBot="1" x14ac:dyDescent="0.3">
      <c r="A106" s="10"/>
      <c r="B106" s="11" t="s">
        <v>41</v>
      </c>
      <c r="C106" s="11">
        <f>SUM(C103:C105)</f>
        <v>1</v>
      </c>
      <c r="D106" s="11">
        <f>SUM(D103:D105)</f>
        <v>1</v>
      </c>
      <c r="E106" s="12">
        <f>SUM(E103:E105)</f>
        <v>1</v>
      </c>
      <c r="F106" s="11"/>
      <c r="G106" s="5"/>
      <c r="H106" s="5"/>
    </row>
    <row r="107" spans="1:9" x14ac:dyDescent="0.25">
      <c r="A107" s="13" t="s">
        <v>45</v>
      </c>
      <c r="B107" s="36" t="s">
        <v>46</v>
      </c>
      <c r="C107" s="36" t="s">
        <v>31</v>
      </c>
      <c r="D107" s="36" t="s">
        <v>52</v>
      </c>
      <c r="E107" s="36" t="s">
        <v>54</v>
      </c>
      <c r="F107" s="36" t="s">
        <v>53</v>
      </c>
      <c r="G107" s="42" t="s">
        <v>55</v>
      </c>
      <c r="H107" s="5"/>
      <c r="I107" s="5"/>
    </row>
    <row r="108" spans="1:9" x14ac:dyDescent="0.25">
      <c r="A108" s="8"/>
      <c r="B108" s="5">
        <f>B6</f>
        <v>6</v>
      </c>
      <c r="C108" s="5">
        <f>D26</f>
        <v>5</v>
      </c>
      <c r="D108" s="5">
        <f>D41</f>
        <v>0</v>
      </c>
      <c r="E108" s="5" t="e">
        <f>0.693/D108</f>
        <v>#DIV/0!</v>
      </c>
      <c r="F108" s="5">
        <f>D42</f>
        <v>2.5713057492260712E-3</v>
      </c>
      <c r="G108" s="9">
        <f>0.693/F108</f>
        <v>269.51287306403907</v>
      </c>
      <c r="H108" s="5"/>
      <c r="I108" s="5"/>
    </row>
    <row r="109" spans="1:9" x14ac:dyDescent="0.25">
      <c r="A109" s="8"/>
      <c r="B109" s="5"/>
      <c r="C109" s="5">
        <f>E26</f>
        <v>7</v>
      </c>
      <c r="D109" s="5">
        <f>E41</f>
        <v>0</v>
      </c>
      <c r="E109" s="5" t="e">
        <f>0.693/D109</f>
        <v>#DIV/0!</v>
      </c>
      <c r="F109" s="5">
        <f>E42</f>
        <v>6.9228920030330043E-4</v>
      </c>
      <c r="G109" s="9">
        <f>0.693/F109</f>
        <v>1001.026738097876</v>
      </c>
      <c r="H109" s="5"/>
      <c r="I109" s="5"/>
    </row>
    <row r="110" spans="1:9" ht="15.75" thickBot="1" x14ac:dyDescent="0.3">
      <c r="A110" s="10"/>
      <c r="B110" s="11"/>
      <c r="C110" s="43"/>
      <c r="D110" s="11"/>
      <c r="E110" s="43"/>
      <c r="F110" s="11"/>
      <c r="G110" s="17"/>
      <c r="H110" s="5"/>
      <c r="I110" s="5"/>
    </row>
    <row r="111" spans="1:9" x14ac:dyDescent="0.25">
      <c r="A111" s="44" t="s">
        <v>31</v>
      </c>
      <c r="B111" s="6">
        <v>0</v>
      </c>
      <c r="C111" s="6">
        <f>B90</f>
        <v>4</v>
      </c>
      <c r="D111" s="6">
        <f>B91</f>
        <v>5</v>
      </c>
      <c r="E111" s="7">
        <f>B92</f>
        <v>7</v>
      </c>
      <c r="F111" s="6"/>
      <c r="G111" s="6"/>
      <c r="H111" s="5"/>
      <c r="I111" s="5"/>
    </row>
    <row r="112" spans="1:9" x14ac:dyDescent="0.25">
      <c r="A112" s="30" t="s">
        <v>48</v>
      </c>
      <c r="B112" s="67">
        <f>G89</f>
        <v>1.5</v>
      </c>
      <c r="C112" s="31">
        <f>G90</f>
        <v>2.5</v>
      </c>
      <c r="D112" s="31">
        <f>G91</f>
        <v>3.5</v>
      </c>
      <c r="E112" s="45">
        <f>G92</f>
        <v>4.5</v>
      </c>
      <c r="F112" s="23"/>
      <c r="G112" s="23"/>
      <c r="H112" s="5"/>
      <c r="I112" s="5"/>
    </row>
    <row r="113" spans="1:9" x14ac:dyDescent="0.25">
      <c r="A113" s="30" t="s">
        <v>47</v>
      </c>
      <c r="B113" s="67">
        <f>F97</f>
        <v>1.4771212547196624</v>
      </c>
      <c r="C113" s="31">
        <f>F98</f>
        <v>1.4771212547196624</v>
      </c>
      <c r="D113" s="31">
        <f>F99</f>
        <v>1.8410584849420291</v>
      </c>
      <c r="E113" s="45">
        <f>F100</f>
        <v>2.4542267190330613</v>
      </c>
      <c r="F113" s="23"/>
      <c r="G113" s="23"/>
      <c r="H113" s="5"/>
      <c r="I113" s="5"/>
    </row>
    <row r="114" spans="1:9" x14ac:dyDescent="0.25">
      <c r="A114" s="8" t="s">
        <v>57</v>
      </c>
      <c r="B114" s="5"/>
      <c r="C114" s="5">
        <f>F90</f>
        <v>30</v>
      </c>
      <c r="D114" s="5">
        <f>F91</f>
        <v>69.351919356943455</v>
      </c>
      <c r="E114" s="9">
        <f>F92</f>
        <v>284.59464172045142</v>
      </c>
      <c r="F114" s="23"/>
      <c r="G114" s="23"/>
      <c r="H114" s="23"/>
      <c r="I114" s="5"/>
    </row>
    <row r="115" spans="1:9" x14ac:dyDescent="0.25">
      <c r="A115" s="40" t="s">
        <v>203</v>
      </c>
      <c r="B115" s="49">
        <f>LINEST(B113:E113,B112:E112)</f>
        <v>0.32952536231625629</v>
      </c>
      <c r="C115" s="48" t="s">
        <v>129</v>
      </c>
      <c r="D115" s="49">
        <f>10^B115</f>
        <v>2.1356268006432702</v>
      </c>
      <c r="E115" s="69"/>
      <c r="F115" s="61"/>
      <c r="G115" s="60"/>
      <c r="H115" s="23"/>
      <c r="I115" s="5"/>
    </row>
    <row r="116" spans="1:9" ht="15.75" thickBot="1" x14ac:dyDescent="0.3">
      <c r="A116" s="37" t="s">
        <v>204</v>
      </c>
      <c r="B116" s="38">
        <f>(B76+B85)/2</f>
        <v>3.2076805020607759</v>
      </c>
      <c r="C116" s="38"/>
      <c r="D116" s="38"/>
      <c r="E116" s="70"/>
      <c r="F116" s="60"/>
      <c r="G116" s="60"/>
      <c r="H116" s="23"/>
      <c r="I116" s="5"/>
    </row>
    <row r="117" spans="1:9" x14ac:dyDescent="0.25">
      <c r="A117" s="121"/>
      <c r="B117" s="49"/>
      <c r="C117" s="49"/>
      <c r="D117" s="49"/>
      <c r="E117" s="115"/>
      <c r="F117" s="115"/>
      <c r="G117" s="49"/>
      <c r="H117" s="23"/>
      <c r="I117" s="5"/>
    </row>
    <row r="118" spans="1:9" x14ac:dyDescent="0.25">
      <c r="A118" s="52"/>
      <c r="B118" s="49"/>
      <c r="C118" s="49"/>
      <c r="D118" s="49"/>
      <c r="E118" s="115"/>
      <c r="F118" s="115"/>
      <c r="G118" s="49"/>
      <c r="H118" s="23"/>
      <c r="I118" s="5"/>
    </row>
    <row r="119" spans="1:9" x14ac:dyDescent="0.25">
      <c r="A119" s="49"/>
      <c r="B119" s="49"/>
      <c r="C119" s="49"/>
      <c r="D119" s="49"/>
      <c r="E119" s="49"/>
      <c r="F119" s="49"/>
      <c r="G119" s="49"/>
    </row>
    <row r="120" spans="1:9" ht="18.75" x14ac:dyDescent="0.3">
      <c r="A120" s="49"/>
      <c r="B120" s="49"/>
      <c r="C120" s="49"/>
      <c r="D120" s="49"/>
      <c r="E120" s="122" t="s">
        <v>129</v>
      </c>
      <c r="F120" s="123">
        <f>D115</f>
        <v>2.1356268006432702</v>
      </c>
      <c r="G120" s="49"/>
    </row>
    <row r="121" spans="1:9" x14ac:dyDescent="0.25">
      <c r="A121" s="49"/>
      <c r="B121" s="49"/>
      <c r="C121" s="49"/>
      <c r="D121" s="49"/>
      <c r="E121" s="49"/>
      <c r="F121" s="49"/>
      <c r="G121" s="49"/>
    </row>
    <row r="122" spans="1:9" x14ac:dyDescent="0.25">
      <c r="A122" s="49"/>
      <c r="B122" s="49"/>
      <c r="C122" s="49"/>
      <c r="D122" s="49"/>
      <c r="E122" s="52"/>
      <c r="F122" s="49"/>
      <c r="G122" s="49"/>
    </row>
    <row r="123" spans="1:9" x14ac:dyDescent="0.25">
      <c r="A123" s="49"/>
      <c r="B123" s="49"/>
      <c r="C123" s="49"/>
      <c r="D123" s="49"/>
      <c r="E123" s="49"/>
      <c r="F123" s="49"/>
      <c r="G123" s="49"/>
    </row>
    <row r="124" spans="1:9" x14ac:dyDescent="0.25">
      <c r="A124" s="49"/>
      <c r="B124" s="49"/>
      <c r="C124" s="49"/>
      <c r="D124" s="49"/>
      <c r="E124" s="49"/>
      <c r="F124" s="49"/>
      <c r="G124" s="49"/>
    </row>
  </sheetData>
  <sheetProtection algorithmName="SHA-512" hashValue="P11fjE0SwMNDzQDFVMMgl+UhiiJ4z16lKaaftgaiavaIIdarxxMw/fNCkPfCMOsFVi2I0yfW931xLKxfVUJ48A==" saltValue="CKH0StwwQ2UQ6gWj3HBaXg==" spinCount="100000" sheet="1" objects="1" scenarios="1"/>
  <mergeCells count="5">
    <mergeCell ref="E117:F117"/>
    <mergeCell ref="E118:F118"/>
    <mergeCell ref="D7:F7"/>
    <mergeCell ref="D8:F8"/>
    <mergeCell ref="A1:G1"/>
  </mergeCells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Species list</vt:lpstr>
      <vt:lpstr>Model 1 (Combined)</vt:lpstr>
      <vt:lpstr>Model 2 (Pelagic)</vt:lpstr>
      <vt:lpstr>Model 3 (Demersal)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Alena</cp:lastModifiedBy>
  <cp:lastPrinted>2015-02-09T15:15:48Z</cp:lastPrinted>
  <dcterms:created xsi:type="dcterms:W3CDTF">2014-07-29T18:46:35Z</dcterms:created>
  <dcterms:modified xsi:type="dcterms:W3CDTF">2016-02-02T19:55:50Z</dcterms:modified>
</cp:coreProperties>
</file>